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irke.sise.envir.ee/dhs/Active/dav/applications/1/lists/1/items/3523755/files/1/"/>
    </mc:Choice>
  </mc:AlternateContent>
  <xr:revisionPtr revIDLastSave="0" documentId="14_{EE928ABD-20BE-472E-AC0A-67D6710790BC}" xr6:coauthVersionLast="47" xr6:coauthVersionMax="47" xr10:uidLastSave="{00000000-0000-0000-0000-000000000000}"/>
  <bookViews>
    <workbookView xWindow="-120" yWindow="-120" windowWidth="29040" windowHeight="15840" xr2:uid="{912B2830-0F4C-4783-A040-67D471BA2AED}"/>
  </bookViews>
  <sheets>
    <sheet name="VORM3_Aruanne II_KAIS_100724" sheetId="1" r:id="rId1"/>
    <sheet name="VORM3_Aruanne II asutustega" sheetId="3" r:id="rId2"/>
    <sheet name="RTK-le SAPi sisestamiseks" sheetId="7" r:id="rId3"/>
    <sheet name="VORM3_Aruanne II asutustega (3)" sheetId="8" state="hidden" r:id="rId4"/>
    <sheet name="VORM3_Aruanne II asutustega (2)" sheetId="4" state="hidden" r:id="rId5"/>
  </sheets>
  <definedNames>
    <definedName name="_xlnm._FilterDatabase" localSheetId="2" hidden="1">'RTK-le SAPi sisestamiseks'!$A$1:$I$54</definedName>
    <definedName name="_xlnm._FilterDatabase" localSheetId="1" hidden="1">'VORM3_Aruanne II asutustega'!$A$7:$AF$533</definedName>
    <definedName name="_xlnm._FilterDatabase" localSheetId="4" hidden="1">'VORM3_Aruanne II asutustega (2)'!$A$1:$W$523</definedName>
    <definedName name="_xlnm._FilterDatabase" localSheetId="3" hidden="1">'VORM3_Aruanne II asutustega (3)'!$A$8:$AF$530</definedName>
    <definedName name="_xlnm._FilterDatabase" localSheetId="0" hidden="1">'VORM3_Aruanne II_KAIS_100724'!$A$7:$S$337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0" i="1" l="1"/>
  <c r="O39" i="1"/>
  <c r="O192" i="1"/>
  <c r="O14" i="1"/>
  <c r="O281" i="1"/>
  <c r="O277" i="1"/>
  <c r="Q412" i="3"/>
  <c r="O114" i="1"/>
  <c r="O219" i="1"/>
  <c r="O190" i="1" l="1"/>
  <c r="O198" i="1"/>
  <c r="O206" i="1"/>
  <c r="O196" i="1"/>
  <c r="Q40" i="1"/>
  <c r="O202" i="1"/>
  <c r="Q39" i="1"/>
  <c r="O42" i="1"/>
  <c r="M40" i="1"/>
  <c r="M39" i="1"/>
  <c r="Q41" i="1"/>
  <c r="M41" i="1"/>
  <c r="Q73" i="3"/>
  <c r="Q317" i="3"/>
  <c r="Q451" i="3"/>
  <c r="Q452" i="3"/>
  <c r="Q448" i="3"/>
  <c r="Q447" i="3"/>
  <c r="Q449" i="3"/>
  <c r="Q453" i="3"/>
  <c r="Q124" i="3"/>
  <c r="Q147" i="3"/>
  <c r="Q119" i="3"/>
  <c r="Q142" i="3"/>
  <c r="Q88" i="3"/>
  <c r="Q93" i="3"/>
  <c r="Q87" i="3"/>
  <c r="Q92" i="3"/>
  <c r="Q83" i="3"/>
  <c r="Q82" i="3"/>
  <c r="Q90" i="3"/>
  <c r="U39" i="3" l="1"/>
  <c r="S20" i="1"/>
  <c r="G5" i="7"/>
  <c r="G45" i="7"/>
  <c r="Q190" i="3"/>
  <c r="Q341" i="3"/>
  <c r="R139" i="3"/>
  <c r="R180" i="3"/>
  <c r="R190" i="3"/>
  <c r="R219" i="3"/>
  <c r="R351" i="3"/>
  <c r="R341" i="3"/>
  <c r="O179" i="1"/>
  <c r="Q362" i="3" l="1"/>
  <c r="Q378" i="3"/>
  <c r="S378" i="3" s="1"/>
  <c r="Q72" i="3"/>
  <c r="S72" i="3" s="1"/>
  <c r="Q384" i="3"/>
  <c r="S384" i="3" s="1"/>
  <c r="Q68" i="3"/>
  <c r="Q391" i="3"/>
  <c r="S391" i="3" s="1"/>
  <c r="Q376" i="3"/>
  <c r="S376" i="3" s="1"/>
  <c r="Q69" i="3"/>
  <c r="S69" i="3" s="1"/>
  <c r="Q373" i="3"/>
  <c r="S373" i="3" s="1"/>
  <c r="Q71" i="3"/>
  <c r="S71" i="3" s="1"/>
  <c r="Q367" i="3"/>
  <c r="S367" i="3" s="1"/>
  <c r="Q70" i="3"/>
  <c r="S70" i="3" s="1"/>
  <c r="S530" i="8"/>
  <c r="Q530" i="8"/>
  <c r="Q529" i="8"/>
  <c r="S529" i="8"/>
  <c r="P529" i="8"/>
  <c r="S528" i="8"/>
  <c r="Q528" i="8"/>
  <c r="P526" i="8"/>
  <c r="Q527" i="8"/>
  <c r="S527" i="8"/>
  <c r="S525" i="8"/>
  <c r="Q525" i="8"/>
  <c r="P525" i="8"/>
  <c r="S524" i="8"/>
  <c r="Q524" i="8"/>
  <c r="S523" i="8"/>
  <c r="Q523" i="8"/>
  <c r="S522" i="8"/>
  <c r="Q522" i="8"/>
  <c r="P521" i="8"/>
  <c r="Q521" i="8"/>
  <c r="S521" i="8"/>
  <c r="S520" i="8"/>
  <c r="Q520" i="8"/>
  <c r="Q519" i="8"/>
  <c r="S519" i="8"/>
  <c r="S518" i="8"/>
  <c r="Q518" i="8"/>
  <c r="P518" i="8"/>
  <c r="S517" i="8"/>
  <c r="Q517" i="8"/>
  <c r="P516" i="8"/>
  <c r="Q516" i="8"/>
  <c r="S516" i="8"/>
  <c r="S515" i="8"/>
  <c r="Q515" i="8"/>
  <c r="Q514" i="8"/>
  <c r="S514" i="8"/>
  <c r="S513" i="8"/>
  <c r="Q513" i="8"/>
  <c r="P513" i="8"/>
  <c r="S512" i="8"/>
  <c r="Q512" i="8"/>
  <c r="S511" i="8"/>
  <c r="Q511" i="8"/>
  <c r="S510" i="8"/>
  <c r="Q510" i="8"/>
  <c r="P510" i="8"/>
  <c r="Q509" i="8"/>
  <c r="S509" i="8"/>
  <c r="S508" i="8"/>
  <c r="Q508" i="8"/>
  <c r="Q507" i="8"/>
  <c r="S507" i="8"/>
  <c r="S506" i="8"/>
  <c r="Q506" i="8"/>
  <c r="Q505" i="8"/>
  <c r="S505" i="8"/>
  <c r="S504" i="8"/>
  <c r="Q504" i="8"/>
  <c r="P504" i="8"/>
  <c r="S503" i="8"/>
  <c r="Q503" i="8"/>
  <c r="S502" i="8"/>
  <c r="Q502" i="8"/>
  <c r="S501" i="8"/>
  <c r="Q501" i="8"/>
  <c r="S500" i="8"/>
  <c r="Q500" i="8"/>
  <c r="S499" i="8"/>
  <c r="Q499" i="8"/>
  <c r="S498" i="8"/>
  <c r="Q498" i="8"/>
  <c r="S497" i="8"/>
  <c r="Q497" i="8"/>
  <c r="S496" i="8"/>
  <c r="Q496" i="8"/>
  <c r="S495" i="8"/>
  <c r="Q495" i="8"/>
  <c r="S494" i="8"/>
  <c r="Q494" i="8"/>
  <c r="S493" i="8"/>
  <c r="Q493" i="8"/>
  <c r="S492" i="8"/>
  <c r="Q492" i="8"/>
  <c r="S491" i="8"/>
  <c r="Q491" i="8"/>
  <c r="S490" i="8"/>
  <c r="Q490" i="8"/>
  <c r="S489" i="8"/>
  <c r="Q489" i="8"/>
  <c r="S488" i="8"/>
  <c r="Q488" i="8"/>
  <c r="S487" i="8"/>
  <c r="Q487" i="8"/>
  <c r="P487" i="8"/>
  <c r="Q486" i="8"/>
  <c r="S486" i="8"/>
  <c r="S485" i="8"/>
  <c r="Q485" i="8"/>
  <c r="Q484" i="8"/>
  <c r="S484" i="8"/>
  <c r="U483" i="8"/>
  <c r="S483" i="8"/>
  <c r="Q482" i="8"/>
  <c r="S482" i="8"/>
  <c r="S481" i="8"/>
  <c r="Q481" i="8"/>
  <c r="Q480" i="8"/>
  <c r="S480" i="8"/>
  <c r="S479" i="8"/>
  <c r="Q479" i="8"/>
  <c r="Q478" i="8"/>
  <c r="S478" i="8"/>
  <c r="S477" i="8"/>
  <c r="Q477" i="8"/>
  <c r="Q476" i="8"/>
  <c r="S476" i="8"/>
  <c r="S475" i="8"/>
  <c r="Q475" i="8"/>
  <c r="Q474" i="8"/>
  <c r="S474" i="8"/>
  <c r="S473" i="8"/>
  <c r="Q473" i="8"/>
  <c r="Q472" i="8"/>
  <c r="S472" i="8"/>
  <c r="S471" i="8"/>
  <c r="S470" i="8"/>
  <c r="Q470" i="8"/>
  <c r="S469" i="8"/>
  <c r="S468" i="8"/>
  <c r="S467" i="8"/>
  <c r="Q467" i="8"/>
  <c r="S466" i="8"/>
  <c r="S465" i="8"/>
  <c r="Q465" i="8"/>
  <c r="S464" i="8"/>
  <c r="S463" i="8"/>
  <c r="Q463" i="8"/>
  <c r="S462" i="8"/>
  <c r="Q462" i="8"/>
  <c r="S461" i="8"/>
  <c r="S460" i="8"/>
  <c r="Q460" i="8"/>
  <c r="Q459" i="8"/>
  <c r="S459" i="8"/>
  <c r="P459" i="8"/>
  <c r="S458" i="8"/>
  <c r="Q458" i="8"/>
  <c r="S457" i="8"/>
  <c r="Q457" i="8"/>
  <c r="S456" i="8"/>
  <c r="Q456" i="8"/>
  <c r="S455" i="8"/>
  <c r="Q455" i="8"/>
  <c r="S454" i="8"/>
  <c r="Q454" i="8"/>
  <c r="S453" i="8"/>
  <c r="Q453" i="8"/>
  <c r="S452" i="8"/>
  <c r="Q452" i="8"/>
  <c r="S451" i="8"/>
  <c r="Q451" i="8"/>
  <c r="S450" i="8"/>
  <c r="Q450" i="8"/>
  <c r="S449" i="8"/>
  <c r="Q449" i="8"/>
  <c r="S448" i="8"/>
  <c r="Q448" i="8"/>
  <c r="S447" i="8"/>
  <c r="Q447" i="8"/>
  <c r="S446" i="8"/>
  <c r="Q446" i="8"/>
  <c r="S445" i="8"/>
  <c r="Q445" i="8"/>
  <c r="S444" i="8"/>
  <c r="Q444" i="8"/>
  <c r="S443" i="8"/>
  <c r="Q443" i="8"/>
  <c r="S442" i="8"/>
  <c r="Q442" i="8"/>
  <c r="S441" i="8"/>
  <c r="Q441" i="8"/>
  <c r="S440" i="8"/>
  <c r="Q440" i="8"/>
  <c r="S439" i="8"/>
  <c r="Q439" i="8"/>
  <c r="S438" i="8"/>
  <c r="Q438" i="8"/>
  <c r="S437" i="8"/>
  <c r="Q437" i="8"/>
  <c r="S436" i="8"/>
  <c r="Q436" i="8"/>
  <c r="S435" i="8"/>
  <c r="Q435" i="8"/>
  <c r="S434" i="8"/>
  <c r="Q434" i="8"/>
  <c r="S432" i="8"/>
  <c r="Q432" i="8"/>
  <c r="S431" i="8"/>
  <c r="Q431" i="8"/>
  <c r="P431" i="8"/>
  <c r="Q433" i="8"/>
  <c r="S433" i="8"/>
  <c r="Q430" i="8"/>
  <c r="S430" i="8"/>
  <c r="S429" i="8"/>
  <c r="Q429" i="8"/>
  <c r="U428" i="8"/>
  <c r="S428" i="8"/>
  <c r="Q428" i="8"/>
  <c r="U427" i="8"/>
  <c r="Q427" i="8"/>
  <c r="S427" i="8"/>
  <c r="U426" i="8"/>
  <c r="S426" i="8"/>
  <c r="Q426" i="8"/>
  <c r="S425" i="8"/>
  <c r="Q425" i="8"/>
  <c r="S424" i="8"/>
  <c r="Q424" i="8"/>
  <c r="S423" i="8"/>
  <c r="Q423" i="8"/>
  <c r="S422" i="8"/>
  <c r="Q422" i="8"/>
  <c r="S421" i="8"/>
  <c r="S420" i="8"/>
  <c r="Q420" i="8"/>
  <c r="Q419" i="8"/>
  <c r="S419" i="8"/>
  <c r="S418" i="8"/>
  <c r="Q418" i="8"/>
  <c r="Q417" i="8"/>
  <c r="S417" i="8"/>
  <c r="S416" i="8"/>
  <c r="Q416" i="8"/>
  <c r="Q415" i="8"/>
  <c r="S415" i="8"/>
  <c r="S414" i="8"/>
  <c r="Q414" i="8"/>
  <c r="Q413" i="8"/>
  <c r="S413" i="8"/>
  <c r="S412" i="8"/>
  <c r="Q412" i="8"/>
  <c r="Q411" i="8"/>
  <c r="S411" i="8"/>
  <c r="S410" i="8"/>
  <c r="Q410" i="8"/>
  <c r="Q409" i="8"/>
  <c r="S409" i="8"/>
  <c r="S408" i="8"/>
  <c r="Q408" i="8"/>
  <c r="Q407" i="8"/>
  <c r="S407" i="8"/>
  <c r="S406" i="8"/>
  <c r="Q406" i="8"/>
  <c r="Q405" i="8"/>
  <c r="S405" i="8"/>
  <c r="U404" i="8"/>
  <c r="S404" i="8"/>
  <c r="Q404" i="8"/>
  <c r="U403" i="8"/>
  <c r="S403" i="8"/>
  <c r="Q403" i="8"/>
  <c r="Q402" i="8"/>
  <c r="S402" i="8"/>
  <c r="Q401" i="8"/>
  <c r="S401" i="8"/>
  <c r="Q400" i="8"/>
  <c r="S400" i="8"/>
  <c r="S399" i="8"/>
  <c r="Q399" i="8"/>
  <c r="Q398" i="8"/>
  <c r="S398" i="8"/>
  <c r="S397" i="8"/>
  <c r="Q397" i="8"/>
  <c r="Q396" i="8"/>
  <c r="S396" i="8"/>
  <c r="S395" i="8"/>
  <c r="Q395" i="8"/>
  <c r="Q394" i="8"/>
  <c r="S394" i="8"/>
  <c r="Q393" i="8"/>
  <c r="S393" i="8"/>
  <c r="Q392" i="8"/>
  <c r="S392" i="8"/>
  <c r="U391" i="8"/>
  <c r="S391" i="8"/>
  <c r="Q391" i="8"/>
  <c r="S390" i="8"/>
  <c r="Q390" i="8"/>
  <c r="S389" i="8"/>
  <c r="Q389" i="8"/>
  <c r="S388" i="8"/>
  <c r="Q388" i="8"/>
  <c r="Q387" i="8"/>
  <c r="S387" i="8"/>
  <c r="S386" i="8"/>
  <c r="Q386" i="8"/>
  <c r="S385" i="8"/>
  <c r="Q385" i="8"/>
  <c r="S384" i="8"/>
  <c r="Q384" i="8"/>
  <c r="Q383" i="8"/>
  <c r="S383" i="8"/>
  <c r="S382" i="8"/>
  <c r="Q382" i="8"/>
  <c r="S381" i="8"/>
  <c r="Q381" i="8"/>
  <c r="S380" i="8"/>
  <c r="Q380" i="8"/>
  <c r="P380" i="8"/>
  <c r="Q379" i="8"/>
  <c r="S379" i="8"/>
  <c r="S378" i="8"/>
  <c r="Q378" i="8"/>
  <c r="U377" i="8"/>
  <c r="S377" i="8"/>
  <c r="Q377" i="8"/>
  <c r="U376" i="8"/>
  <c r="Q376" i="8"/>
  <c r="S376" i="8"/>
  <c r="S375" i="8"/>
  <c r="Q375" i="8"/>
  <c r="Q374" i="8"/>
  <c r="S374" i="8"/>
  <c r="S373" i="8"/>
  <c r="Q373" i="8"/>
  <c r="S372" i="8"/>
  <c r="S371" i="8"/>
  <c r="Q371" i="8"/>
  <c r="S370" i="8"/>
  <c r="Q370" i="8"/>
  <c r="S369" i="8"/>
  <c r="Q369" i="8"/>
  <c r="Q368" i="8"/>
  <c r="S368" i="8"/>
  <c r="S367" i="8"/>
  <c r="Q367" i="8"/>
  <c r="S366" i="8"/>
  <c r="Q366" i="8"/>
  <c r="S365" i="8"/>
  <c r="Q365" i="8"/>
  <c r="Q364" i="8"/>
  <c r="S364" i="8"/>
  <c r="S363" i="8"/>
  <c r="Q363" i="8"/>
  <c r="S362" i="8"/>
  <c r="Q362" i="8"/>
  <c r="S361" i="8"/>
  <c r="Q361" i="8"/>
  <c r="Q360" i="8"/>
  <c r="S360" i="8"/>
  <c r="S359" i="8"/>
  <c r="Q359" i="8"/>
  <c r="S358" i="8"/>
  <c r="Q358" i="8"/>
  <c r="S357" i="8"/>
  <c r="Q357" i="8"/>
  <c r="Q356" i="8"/>
  <c r="S356" i="8"/>
  <c r="S355" i="8"/>
  <c r="Q355" i="8"/>
  <c r="U354" i="8"/>
  <c r="Q354" i="8"/>
  <c r="S354" i="8"/>
  <c r="U353" i="8"/>
  <c r="Q353" i="8"/>
  <c r="S353" i="8"/>
  <c r="U352" i="8"/>
  <c r="S352" i="8"/>
  <c r="Q352" i="8"/>
  <c r="Q351" i="8"/>
  <c r="S351" i="8"/>
  <c r="S350" i="8"/>
  <c r="Q350" i="8"/>
  <c r="Q349" i="8"/>
  <c r="S349" i="8"/>
  <c r="S348" i="8"/>
  <c r="Q348" i="8"/>
  <c r="Q347" i="8"/>
  <c r="S347" i="8"/>
  <c r="S346" i="8"/>
  <c r="Q346" i="8"/>
  <c r="Q345" i="8"/>
  <c r="S345" i="8"/>
  <c r="S344" i="8"/>
  <c r="Q344" i="8"/>
  <c r="Q343" i="8"/>
  <c r="S343" i="8"/>
  <c r="S342" i="8"/>
  <c r="Q342" i="8"/>
  <c r="Q341" i="8"/>
  <c r="S341" i="8"/>
  <c r="S340" i="8"/>
  <c r="Q340" i="8"/>
  <c r="Q339" i="8"/>
  <c r="S339" i="8"/>
  <c r="S338" i="8"/>
  <c r="S336" i="8"/>
  <c r="Q336" i="8"/>
  <c r="S335" i="8"/>
  <c r="Q335" i="8"/>
  <c r="S334" i="8"/>
  <c r="Q334" i="8"/>
  <c r="P334" i="8"/>
  <c r="Q337" i="8"/>
  <c r="S337" i="8"/>
  <c r="Q333" i="8"/>
  <c r="S333" i="8"/>
  <c r="S332" i="8"/>
  <c r="Q332" i="8"/>
  <c r="U331" i="8"/>
  <c r="S331" i="8"/>
  <c r="Q331" i="8"/>
  <c r="U330" i="8"/>
  <c r="Q330" i="8"/>
  <c r="S330" i="8"/>
  <c r="U329" i="8"/>
  <c r="S329" i="8"/>
  <c r="Q329" i="8"/>
  <c r="S328" i="8"/>
  <c r="Q328" i="8"/>
  <c r="Q327" i="8"/>
  <c r="S327" i="8"/>
  <c r="S326" i="8"/>
  <c r="Q326" i="8"/>
  <c r="S325" i="8"/>
  <c r="Q324" i="8"/>
  <c r="S324" i="8"/>
  <c r="S323" i="8"/>
  <c r="Q323" i="8"/>
  <c r="Q322" i="8"/>
  <c r="S322" i="8"/>
  <c r="S321" i="8"/>
  <c r="Q321" i="8"/>
  <c r="Q320" i="8"/>
  <c r="S320" i="8"/>
  <c r="S319" i="8"/>
  <c r="Q319" i="8"/>
  <c r="Q318" i="8"/>
  <c r="S318" i="8"/>
  <c r="S317" i="8"/>
  <c r="Q317" i="8"/>
  <c r="Q316" i="8"/>
  <c r="S316" i="8"/>
  <c r="S315" i="8"/>
  <c r="P315" i="8"/>
  <c r="Q314" i="8"/>
  <c r="S314" i="8"/>
  <c r="S313" i="8"/>
  <c r="Q313" i="8"/>
  <c r="Q312" i="8"/>
  <c r="S312" i="8"/>
  <c r="S311" i="8"/>
  <c r="Q311" i="8"/>
  <c r="Q310" i="8"/>
  <c r="S310" i="8"/>
  <c r="S309" i="8"/>
  <c r="Q309" i="8"/>
  <c r="U308" i="8"/>
  <c r="S308" i="8"/>
  <c r="Q308" i="8"/>
  <c r="U307" i="8"/>
  <c r="Q307" i="8"/>
  <c r="S307" i="8"/>
  <c r="U306" i="8"/>
  <c r="S306" i="8"/>
  <c r="Q306" i="8"/>
  <c r="S305" i="8"/>
  <c r="Q305" i="8"/>
  <c r="Q304" i="8"/>
  <c r="S304" i="8"/>
  <c r="S303" i="8"/>
  <c r="Q303" i="8"/>
  <c r="S302" i="8"/>
  <c r="Q302" i="8"/>
  <c r="S301" i="8"/>
  <c r="Q301" i="8"/>
  <c r="Q300" i="8"/>
  <c r="S300" i="8"/>
  <c r="S299" i="8"/>
  <c r="Q299" i="8"/>
  <c r="S298" i="8"/>
  <c r="Q298" i="8"/>
  <c r="S297" i="8"/>
  <c r="Q297" i="8"/>
  <c r="Q296" i="8"/>
  <c r="S296" i="8"/>
  <c r="S295" i="8"/>
  <c r="Q295" i="8"/>
  <c r="S294" i="8"/>
  <c r="Q294" i="8"/>
  <c r="S293" i="8"/>
  <c r="Q293" i="8"/>
  <c r="S291" i="8"/>
  <c r="Q291" i="8"/>
  <c r="S290" i="8"/>
  <c r="Q290" i="8"/>
  <c r="S289" i="8"/>
  <c r="Q289" i="8"/>
  <c r="P289" i="8"/>
  <c r="Q292" i="8"/>
  <c r="S292" i="8"/>
  <c r="Q288" i="8"/>
  <c r="S288" i="8"/>
  <c r="U287" i="8"/>
  <c r="S287" i="8"/>
  <c r="Q287" i="8"/>
  <c r="U286" i="8"/>
  <c r="S286" i="8"/>
  <c r="Q286" i="8"/>
  <c r="U285" i="8"/>
  <c r="S285" i="8"/>
  <c r="Q285" i="8"/>
  <c r="S284" i="8"/>
  <c r="Q284" i="8"/>
  <c r="S283" i="8"/>
  <c r="Q283" i="8"/>
  <c r="Q282" i="8"/>
  <c r="S282" i="8"/>
  <c r="S281" i="8"/>
  <c r="Q281" i="8"/>
  <c r="S280" i="8"/>
  <c r="Q280" i="8"/>
  <c r="S279" i="8"/>
  <c r="Q279" i="8"/>
  <c r="Q278" i="8"/>
  <c r="S278" i="8"/>
  <c r="S277" i="8"/>
  <c r="Q277" i="8"/>
  <c r="S276" i="8"/>
  <c r="Q276" i="8"/>
  <c r="S275" i="8"/>
  <c r="Q275" i="8"/>
  <c r="Q274" i="8"/>
  <c r="S274" i="8"/>
  <c r="S273" i="8"/>
  <c r="Q273" i="8"/>
  <c r="S272" i="8"/>
  <c r="Q272" i="8"/>
  <c r="S271" i="8"/>
  <c r="Q271" i="8"/>
  <c r="P271" i="8"/>
  <c r="Q270" i="8"/>
  <c r="S270" i="8"/>
  <c r="S269" i="8"/>
  <c r="Q269" i="8"/>
  <c r="U268" i="8"/>
  <c r="S268" i="8"/>
  <c r="Q268" i="8"/>
  <c r="U267" i="8"/>
  <c r="Q267" i="8"/>
  <c r="S267" i="8"/>
  <c r="S266" i="8"/>
  <c r="Q266" i="8"/>
  <c r="Q265" i="8"/>
  <c r="S265" i="8"/>
  <c r="S264" i="8"/>
  <c r="Q264" i="8"/>
  <c r="Q263" i="8"/>
  <c r="S263" i="8"/>
  <c r="S262" i="8"/>
  <c r="Q262" i="8"/>
  <c r="Q261" i="8"/>
  <c r="S261" i="8"/>
  <c r="S260" i="8"/>
  <c r="Q260" i="8"/>
  <c r="Q259" i="8"/>
  <c r="S259" i="8"/>
  <c r="S258" i="8"/>
  <c r="Q258" i="8"/>
  <c r="Q257" i="8"/>
  <c r="S257" i="8"/>
  <c r="Q256" i="8"/>
  <c r="S256" i="8"/>
  <c r="Q255" i="8"/>
  <c r="S255" i="8"/>
  <c r="S254" i="8"/>
  <c r="Q254" i="8"/>
  <c r="Q253" i="8"/>
  <c r="S253" i="8"/>
  <c r="P253" i="8"/>
  <c r="S252" i="8"/>
  <c r="Q252" i="8"/>
  <c r="S251" i="8"/>
  <c r="Q251" i="8"/>
  <c r="U250" i="8"/>
  <c r="Q250" i="8"/>
  <c r="S250" i="8"/>
  <c r="U249" i="8"/>
  <c r="Q249" i="8"/>
  <c r="S249" i="8"/>
  <c r="U248" i="8"/>
  <c r="S248" i="8"/>
  <c r="Q248" i="8"/>
  <c r="Q247" i="8"/>
  <c r="S247" i="8"/>
  <c r="Q246" i="8"/>
  <c r="S246" i="8"/>
  <c r="Q245" i="8"/>
  <c r="S245" i="8"/>
  <c r="S244" i="8"/>
  <c r="Q244" i="8"/>
  <c r="Q243" i="8"/>
  <c r="S243" i="8"/>
  <c r="Q242" i="8"/>
  <c r="S242" i="8"/>
  <c r="Q241" i="8"/>
  <c r="S241" i="8"/>
  <c r="S240" i="8"/>
  <c r="Q240" i="8"/>
  <c r="Q239" i="8"/>
  <c r="S239" i="8"/>
  <c r="Q238" i="8"/>
  <c r="S238" i="8"/>
  <c r="Q237" i="8"/>
  <c r="S237" i="8"/>
  <c r="S236" i="8"/>
  <c r="Q236" i="8"/>
  <c r="Q235" i="8"/>
  <c r="S235" i="8"/>
  <c r="Q234" i="8"/>
  <c r="S234" i="8"/>
  <c r="Q233" i="8"/>
  <c r="S233" i="8"/>
  <c r="S232" i="8"/>
  <c r="Q232" i="8"/>
  <c r="Q231" i="8"/>
  <c r="S231" i="8"/>
  <c r="Q230" i="8"/>
  <c r="S230" i="8"/>
  <c r="U229" i="8"/>
  <c r="S229" i="8"/>
  <c r="Q229" i="8"/>
  <c r="U228" i="8"/>
  <c r="Q228" i="8"/>
  <c r="S228" i="8"/>
  <c r="Q227" i="8"/>
  <c r="S227" i="8"/>
  <c r="Q226" i="8"/>
  <c r="S226" i="8"/>
  <c r="S225" i="8"/>
  <c r="Q225" i="8"/>
  <c r="Q224" i="8"/>
  <c r="S224" i="8"/>
  <c r="Q223" i="8"/>
  <c r="S223" i="8"/>
  <c r="Q222" i="8"/>
  <c r="S222" i="8"/>
  <c r="S221" i="8"/>
  <c r="Q221" i="8"/>
  <c r="Q220" i="8"/>
  <c r="S220" i="8"/>
  <c r="Q219" i="8"/>
  <c r="S219" i="8"/>
  <c r="Q218" i="8"/>
  <c r="S218" i="8"/>
  <c r="S217" i="8"/>
  <c r="Q217" i="8"/>
  <c r="P216" i="8"/>
  <c r="Q216" i="8"/>
  <c r="S216" i="8"/>
  <c r="S214" i="8"/>
  <c r="Q214" i="8"/>
  <c r="P213" i="8"/>
  <c r="Q215" i="8"/>
  <c r="S215" i="8"/>
  <c r="Q212" i="8"/>
  <c r="S212" i="8"/>
  <c r="Q211" i="8"/>
  <c r="S211" i="8"/>
  <c r="U210" i="8"/>
  <c r="S210" i="8"/>
  <c r="Q210" i="8"/>
  <c r="U209" i="8"/>
  <c r="S209" i="8"/>
  <c r="Q209" i="8"/>
  <c r="Q208" i="8"/>
  <c r="S208" i="8"/>
  <c r="S207" i="8"/>
  <c r="Q207" i="8"/>
  <c r="Q206" i="8"/>
  <c r="S206" i="8"/>
  <c r="Q205" i="8"/>
  <c r="S205" i="8"/>
  <c r="Q204" i="8"/>
  <c r="S204" i="8"/>
  <c r="S203" i="8"/>
  <c r="Q203" i="8"/>
  <c r="Q202" i="8"/>
  <c r="S202" i="8"/>
  <c r="Q201" i="8"/>
  <c r="S201" i="8"/>
  <c r="Q200" i="8"/>
  <c r="S200" i="8"/>
  <c r="S199" i="8"/>
  <c r="Q199" i="8"/>
  <c r="Q197" i="8"/>
  <c r="S197" i="8"/>
  <c r="Q196" i="8"/>
  <c r="S196" i="8"/>
  <c r="P196" i="8"/>
  <c r="P6" i="8"/>
  <c r="S195" i="8"/>
  <c r="Q195" i="8"/>
  <c r="Q194" i="8"/>
  <c r="S194" i="8"/>
  <c r="U193" i="8"/>
  <c r="Q193" i="8"/>
  <c r="S193" i="8"/>
  <c r="U192" i="8"/>
  <c r="S192" i="8"/>
  <c r="Q192" i="8"/>
  <c r="U191" i="8"/>
  <c r="Q191" i="8"/>
  <c r="S191" i="8"/>
  <c r="Q190" i="8"/>
  <c r="S190" i="8"/>
  <c r="S189" i="8"/>
  <c r="Q189" i="8"/>
  <c r="Q188" i="8"/>
  <c r="S188" i="8"/>
  <c r="S187" i="8"/>
  <c r="Q186" i="8"/>
  <c r="S186" i="8"/>
  <c r="S185" i="8"/>
  <c r="Q185" i="8"/>
  <c r="S184" i="8"/>
  <c r="Q184" i="8"/>
  <c r="Q183" i="8"/>
  <c r="S183" i="8"/>
  <c r="S182" i="8"/>
  <c r="Q182" i="8"/>
  <c r="S181" i="8"/>
  <c r="Q181" i="8"/>
  <c r="S180" i="8"/>
  <c r="Q180" i="8"/>
  <c r="Q179" i="8"/>
  <c r="S179" i="8"/>
  <c r="Q178" i="8"/>
  <c r="S178" i="8"/>
  <c r="S177" i="8"/>
  <c r="Q177" i="8"/>
  <c r="P177" i="8"/>
  <c r="S176" i="8"/>
  <c r="Q175" i="8"/>
  <c r="S175" i="8"/>
  <c r="Q174" i="8"/>
  <c r="S174" i="8"/>
  <c r="S173" i="8"/>
  <c r="Q173" i="8"/>
  <c r="P172" i="8"/>
  <c r="Q172" i="8"/>
  <c r="S172" i="8"/>
  <c r="S171" i="8"/>
  <c r="Q171" i="8"/>
  <c r="Q170" i="8"/>
  <c r="S170" i="8"/>
  <c r="U169" i="8"/>
  <c r="S169" i="8"/>
  <c r="Q169" i="8"/>
  <c r="U168" i="8"/>
  <c r="S168" i="8"/>
  <c r="Q168" i="8"/>
  <c r="Q167" i="8"/>
  <c r="S167" i="8"/>
  <c r="S166" i="8"/>
  <c r="Q166" i="8"/>
  <c r="Q165" i="8"/>
  <c r="S165" i="8"/>
  <c r="S164" i="8"/>
  <c r="Q164" i="8"/>
  <c r="Q163" i="8"/>
  <c r="S163" i="8"/>
  <c r="S162" i="8"/>
  <c r="Q162" i="8"/>
  <c r="Q161" i="8"/>
  <c r="S161" i="8"/>
  <c r="S160" i="8"/>
  <c r="Q160" i="8"/>
  <c r="Q159" i="8"/>
  <c r="S159" i="8"/>
  <c r="S158" i="8"/>
  <c r="Q158" i="8"/>
  <c r="Q157" i="8"/>
  <c r="S157" i="8"/>
  <c r="S156" i="8"/>
  <c r="Q156" i="8"/>
  <c r="Q155" i="8"/>
  <c r="S155" i="8"/>
  <c r="S154" i="8"/>
  <c r="Q154" i="8"/>
  <c r="P154" i="8"/>
  <c r="Q153" i="8"/>
  <c r="S153" i="8"/>
  <c r="S152" i="8"/>
  <c r="Q152" i="8"/>
  <c r="U151" i="8"/>
  <c r="S151" i="8"/>
  <c r="Q151" i="8"/>
  <c r="U150" i="8"/>
  <c r="Q150" i="8"/>
  <c r="S150" i="8"/>
  <c r="U149" i="8"/>
  <c r="Q149" i="8"/>
  <c r="S149" i="8"/>
  <c r="S148" i="8"/>
  <c r="Q148" i="8"/>
  <c r="Q147" i="8"/>
  <c r="S147" i="8"/>
  <c r="S146" i="8"/>
  <c r="Q146" i="8"/>
  <c r="Q145" i="8"/>
  <c r="S145" i="8"/>
  <c r="S144" i="8"/>
  <c r="Q144" i="8"/>
  <c r="Q143" i="8"/>
  <c r="S143" i="8"/>
  <c r="S142" i="8"/>
  <c r="Q142" i="8"/>
  <c r="Q141" i="8"/>
  <c r="S141" i="8"/>
  <c r="S140" i="8"/>
  <c r="Q140" i="8"/>
  <c r="Q139" i="8"/>
  <c r="S139" i="8"/>
  <c r="S138" i="8"/>
  <c r="Q138" i="8"/>
  <c r="Q137" i="8"/>
  <c r="S137" i="8"/>
  <c r="S136" i="8"/>
  <c r="Q136" i="8"/>
  <c r="P136" i="8"/>
  <c r="Q135" i="8"/>
  <c r="S135" i="8"/>
  <c r="Q134" i="8"/>
  <c r="S134" i="8"/>
  <c r="S133" i="8"/>
  <c r="Q133" i="8"/>
  <c r="P133" i="8"/>
  <c r="Q132" i="8"/>
  <c r="S132" i="8"/>
  <c r="S131" i="8"/>
  <c r="Q131" i="8"/>
  <c r="Q130" i="8"/>
  <c r="S130" i="8"/>
  <c r="S129" i="8"/>
  <c r="Q129" i="8"/>
  <c r="U128" i="8"/>
  <c r="Q128" i="8"/>
  <c r="S128" i="8"/>
  <c r="U127" i="8"/>
  <c r="Q127" i="8"/>
  <c r="S127" i="8"/>
  <c r="U126" i="8"/>
  <c r="S126" i="8"/>
  <c r="Q126" i="8"/>
  <c r="Q125" i="8"/>
  <c r="S125" i="8"/>
  <c r="Q124" i="8"/>
  <c r="S124" i="8"/>
  <c r="S123" i="8"/>
  <c r="Q123" i="8"/>
  <c r="S122" i="8"/>
  <c r="Q122" i="8"/>
  <c r="Q121" i="8"/>
  <c r="S121" i="8"/>
  <c r="Q120" i="8"/>
  <c r="S120" i="8"/>
  <c r="S119" i="8"/>
  <c r="Q119" i="8"/>
  <c r="S118" i="8"/>
  <c r="Q118" i="8"/>
  <c r="Q117" i="8"/>
  <c r="S117" i="8"/>
  <c r="Q116" i="8"/>
  <c r="S116" i="8"/>
  <c r="S115" i="8"/>
  <c r="Q115" i="8"/>
  <c r="S114" i="8"/>
  <c r="Q114" i="8"/>
  <c r="P113" i="8"/>
  <c r="Q112" i="8"/>
  <c r="S112" i="8"/>
  <c r="S111" i="8"/>
  <c r="Q111" i="8"/>
  <c r="P110" i="8"/>
  <c r="Q113" i="8"/>
  <c r="S113" i="8"/>
  <c r="Q109" i="8"/>
  <c r="S109" i="8"/>
  <c r="S108" i="8"/>
  <c r="Q108" i="8"/>
  <c r="P108" i="8"/>
  <c r="Q107" i="8"/>
  <c r="S107" i="8"/>
  <c r="S106" i="8"/>
  <c r="Q106" i="8"/>
  <c r="Q105" i="8"/>
  <c r="S105" i="8"/>
  <c r="S104" i="8"/>
  <c r="Q104" i="8"/>
  <c r="Q103" i="8"/>
  <c r="S103" i="8"/>
  <c r="S102" i="8"/>
  <c r="Q102" i="8"/>
  <c r="Q101" i="8"/>
  <c r="S101" i="8"/>
  <c r="S100" i="8"/>
  <c r="Q100" i="8"/>
  <c r="Q99" i="8"/>
  <c r="S99" i="8"/>
  <c r="S98" i="8"/>
  <c r="Q98" i="8"/>
  <c r="Q97" i="8"/>
  <c r="S97" i="8"/>
  <c r="S96" i="8"/>
  <c r="Q96" i="8"/>
  <c r="Q95" i="8"/>
  <c r="S95" i="8"/>
  <c r="S94" i="8"/>
  <c r="Q94" i="8"/>
  <c r="Q93" i="8"/>
  <c r="S93" i="8"/>
  <c r="S92" i="8"/>
  <c r="Q92" i="8"/>
  <c r="Q91" i="8"/>
  <c r="S91" i="8"/>
  <c r="S90" i="8"/>
  <c r="Q90" i="8"/>
  <c r="Q89" i="8"/>
  <c r="S89" i="8"/>
  <c r="S88" i="8"/>
  <c r="Q88" i="8"/>
  <c r="Q87" i="8"/>
  <c r="S87" i="8"/>
  <c r="U86" i="8"/>
  <c r="S86" i="8"/>
  <c r="Q86" i="8"/>
  <c r="S85" i="8"/>
  <c r="Q85" i="8"/>
  <c r="S84" i="8"/>
  <c r="Q84" i="8"/>
  <c r="Q83" i="8"/>
  <c r="S83" i="8"/>
  <c r="P82" i="8"/>
  <c r="Q82" i="8"/>
  <c r="S82" i="8"/>
  <c r="S81" i="8"/>
  <c r="Q81" i="8"/>
  <c r="Q80" i="8"/>
  <c r="S80" i="8"/>
  <c r="S79" i="8"/>
  <c r="Q79" i="8"/>
  <c r="Q78" i="8"/>
  <c r="S78" i="8"/>
  <c r="P78" i="8"/>
  <c r="S77" i="8"/>
  <c r="Q77" i="8"/>
  <c r="Q76" i="8"/>
  <c r="S76" i="8"/>
  <c r="S75" i="8"/>
  <c r="Q75" i="8"/>
  <c r="S74" i="8"/>
  <c r="Q74" i="8"/>
  <c r="S73" i="8"/>
  <c r="Q73" i="8"/>
  <c r="P72" i="8"/>
  <c r="Q72" i="8"/>
  <c r="S72" i="8"/>
  <c r="Q71" i="8"/>
  <c r="S71" i="8"/>
  <c r="S70" i="8"/>
  <c r="Q70" i="8"/>
  <c r="Q69" i="8"/>
  <c r="S69" i="8"/>
  <c r="Q68" i="8"/>
  <c r="S68" i="8"/>
  <c r="S67" i="8"/>
  <c r="S66" i="8"/>
  <c r="Q66" i="8"/>
  <c r="S65" i="8"/>
  <c r="Q64" i="8"/>
  <c r="S64" i="8"/>
  <c r="S63" i="8"/>
  <c r="S62" i="8"/>
  <c r="Q62" i="8"/>
  <c r="S61" i="8"/>
  <c r="S60" i="8"/>
  <c r="Q60" i="8"/>
  <c r="S59" i="8"/>
  <c r="S58" i="8"/>
  <c r="Q57" i="8"/>
  <c r="S57" i="8"/>
  <c r="Q56" i="8"/>
  <c r="S56" i="8"/>
  <c r="S55" i="8"/>
  <c r="S54" i="8"/>
  <c r="Q54" i="8"/>
  <c r="S53" i="8"/>
  <c r="Q52" i="8"/>
  <c r="S52" i="8"/>
  <c r="Q51" i="8"/>
  <c r="S51" i="8"/>
  <c r="S50" i="8"/>
  <c r="Q50" i="8"/>
  <c r="Q49" i="8"/>
  <c r="S49" i="8"/>
  <c r="Q48" i="8"/>
  <c r="S48" i="8"/>
  <c r="Q47" i="8"/>
  <c r="S47" i="8"/>
  <c r="S46" i="8"/>
  <c r="Q46" i="8"/>
  <c r="Q45" i="8"/>
  <c r="S45" i="8"/>
  <c r="Q44" i="8"/>
  <c r="S44" i="8"/>
  <c r="Q43" i="8"/>
  <c r="S43" i="8"/>
  <c r="S42" i="8"/>
  <c r="Q42" i="8"/>
  <c r="Q41" i="8"/>
  <c r="S41" i="8"/>
  <c r="S40" i="8"/>
  <c r="S39" i="8"/>
  <c r="Q39" i="8"/>
  <c r="Q38" i="8"/>
  <c r="S38" i="8"/>
  <c r="S37" i="8"/>
  <c r="Q37" i="8"/>
  <c r="Q36" i="8"/>
  <c r="S36" i="8"/>
  <c r="S35" i="8"/>
  <c r="Q35" i="8"/>
  <c r="Q34" i="8"/>
  <c r="S34" i="8"/>
  <c r="S33" i="8"/>
  <c r="Q33" i="8"/>
  <c r="Q32" i="8"/>
  <c r="S32" i="8"/>
  <c r="S31" i="8"/>
  <c r="Q31" i="8"/>
  <c r="Q30" i="8"/>
  <c r="S30" i="8"/>
  <c r="S29" i="8"/>
  <c r="Q29" i="8"/>
  <c r="Q28" i="8"/>
  <c r="S28" i="8"/>
  <c r="P27" i="8"/>
  <c r="Q27" i="8"/>
  <c r="S27" i="8"/>
  <c r="S26" i="8"/>
  <c r="Q26" i="8"/>
  <c r="Q25" i="8"/>
  <c r="S25" i="8"/>
  <c r="Q24" i="8"/>
  <c r="S24" i="8"/>
  <c r="P23" i="8"/>
  <c r="Q23" i="8"/>
  <c r="S23" i="8"/>
  <c r="S22" i="8"/>
  <c r="Q22" i="8"/>
  <c r="Q21" i="8"/>
  <c r="S21" i="8"/>
  <c r="S20" i="8"/>
  <c r="Q20" i="8"/>
  <c r="Q19" i="8"/>
  <c r="S19" i="8"/>
  <c r="S18" i="8"/>
  <c r="Q18" i="8"/>
  <c r="Q17" i="8"/>
  <c r="S17" i="8"/>
  <c r="S16" i="8"/>
  <c r="Q16" i="8"/>
  <c r="Q15" i="8"/>
  <c r="S15" i="8"/>
  <c r="S14" i="8"/>
  <c r="Q14" i="8"/>
  <c r="P13" i="8"/>
  <c r="Q13" i="8"/>
  <c r="S13" i="8"/>
  <c r="P12" i="8"/>
  <c r="Q12" i="8"/>
  <c r="S12" i="8"/>
  <c r="S11" i="8"/>
  <c r="Q11" i="8"/>
  <c r="Q10" i="8"/>
  <c r="S10" i="8"/>
  <c r="Q9" i="8"/>
  <c r="S9" i="8"/>
  <c r="U6" i="8"/>
  <c r="T6" i="8"/>
  <c r="R6" i="8"/>
  <c r="O6" i="8"/>
  <c r="N6" i="8"/>
  <c r="M6" i="8"/>
  <c r="L6" i="8"/>
  <c r="Q42" i="1"/>
  <c r="Q190" i="1"/>
  <c r="P383" i="3"/>
  <c r="S73" i="3"/>
  <c r="H54" i="7"/>
  <c r="I2" i="7"/>
  <c r="I3" i="7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Q523" i="4"/>
  <c r="S523" i="4"/>
  <c r="P522" i="4"/>
  <c r="Q522" i="4"/>
  <c r="S522" i="4"/>
  <c r="Q521" i="4"/>
  <c r="S521" i="4"/>
  <c r="P519" i="4"/>
  <c r="Q520" i="4"/>
  <c r="S520" i="4"/>
  <c r="Q519" i="4"/>
  <c r="S519" i="4"/>
  <c r="P518" i="4"/>
  <c r="Q518" i="4"/>
  <c r="S518" i="4"/>
  <c r="Q517" i="4"/>
  <c r="S517" i="4"/>
  <c r="Q516" i="4"/>
  <c r="S516" i="4"/>
  <c r="Q515" i="4"/>
  <c r="S515" i="4"/>
  <c r="P514" i="4"/>
  <c r="Q514" i="4"/>
  <c r="S514" i="4"/>
  <c r="Q513" i="4"/>
  <c r="S513" i="4"/>
  <c r="Q512" i="4"/>
  <c r="S512" i="4"/>
  <c r="P511" i="4"/>
  <c r="Q511" i="4"/>
  <c r="S511" i="4"/>
  <c r="Q510" i="4"/>
  <c r="S510" i="4"/>
  <c r="P509" i="4"/>
  <c r="Q509" i="4"/>
  <c r="S509" i="4"/>
  <c r="Q508" i="4"/>
  <c r="S508" i="4"/>
  <c r="Q507" i="4"/>
  <c r="S507" i="4"/>
  <c r="P506" i="4"/>
  <c r="Q506" i="4"/>
  <c r="S506" i="4"/>
  <c r="Q505" i="4"/>
  <c r="S505" i="4"/>
  <c r="Q504" i="4"/>
  <c r="S504" i="4"/>
  <c r="P503" i="4"/>
  <c r="Q503" i="4"/>
  <c r="S503" i="4"/>
  <c r="Q502" i="4"/>
  <c r="S502" i="4"/>
  <c r="Q501" i="4"/>
  <c r="S501" i="4"/>
  <c r="Q500" i="4"/>
  <c r="S500" i="4"/>
  <c r="Q499" i="4"/>
  <c r="S499" i="4"/>
  <c r="Q498" i="4"/>
  <c r="S498" i="4"/>
  <c r="P497" i="4"/>
  <c r="Q497" i="4"/>
  <c r="S497" i="4"/>
  <c r="Q496" i="4"/>
  <c r="S496" i="4"/>
  <c r="Q495" i="4"/>
  <c r="S495" i="4"/>
  <c r="Q494" i="4"/>
  <c r="S494" i="4"/>
  <c r="Q493" i="4"/>
  <c r="S493" i="4"/>
  <c r="Q492" i="4"/>
  <c r="S492" i="4"/>
  <c r="Q491" i="4"/>
  <c r="S491" i="4"/>
  <c r="Q490" i="4"/>
  <c r="S490" i="4"/>
  <c r="Q489" i="4"/>
  <c r="S489" i="4"/>
  <c r="Q488" i="4"/>
  <c r="S488" i="4"/>
  <c r="Q487" i="4"/>
  <c r="S487" i="4"/>
  <c r="Q486" i="4"/>
  <c r="S486" i="4"/>
  <c r="Q485" i="4"/>
  <c r="S485" i="4"/>
  <c r="Q484" i="4"/>
  <c r="S484" i="4"/>
  <c r="Q483" i="4"/>
  <c r="S483" i="4"/>
  <c r="Q482" i="4"/>
  <c r="S482" i="4"/>
  <c r="Q481" i="4"/>
  <c r="S481" i="4"/>
  <c r="P480" i="4"/>
  <c r="Q480" i="4"/>
  <c r="S480" i="4"/>
  <c r="Q479" i="4"/>
  <c r="S479" i="4"/>
  <c r="Q478" i="4"/>
  <c r="S478" i="4"/>
  <c r="Q477" i="4"/>
  <c r="S477" i="4"/>
  <c r="U476" i="4"/>
  <c r="S476" i="4"/>
  <c r="Q475" i="4"/>
  <c r="S475" i="4"/>
  <c r="Q474" i="4"/>
  <c r="S474" i="4"/>
  <c r="Q473" i="4"/>
  <c r="S473" i="4"/>
  <c r="Q472" i="4"/>
  <c r="S472" i="4"/>
  <c r="Q471" i="4"/>
  <c r="S471" i="4"/>
  <c r="Q470" i="4"/>
  <c r="S470" i="4"/>
  <c r="Q469" i="4"/>
  <c r="S469" i="4"/>
  <c r="Q468" i="4"/>
  <c r="S468" i="4"/>
  <c r="Q467" i="4"/>
  <c r="S467" i="4"/>
  <c r="Q466" i="4"/>
  <c r="S466" i="4"/>
  <c r="Q465" i="4"/>
  <c r="S465" i="4"/>
  <c r="S464" i="4"/>
  <c r="Q463" i="4"/>
  <c r="S463" i="4"/>
  <c r="S462" i="4"/>
  <c r="S461" i="4"/>
  <c r="Q460" i="4"/>
  <c r="S460" i="4"/>
  <c r="S459" i="4"/>
  <c r="Q458" i="4"/>
  <c r="S458" i="4"/>
  <c r="S457" i="4"/>
  <c r="Q456" i="4"/>
  <c r="S456" i="4"/>
  <c r="Q455" i="4"/>
  <c r="S455" i="4"/>
  <c r="S454" i="4"/>
  <c r="Q453" i="4"/>
  <c r="S453" i="4"/>
  <c r="P452" i="4"/>
  <c r="Q452" i="4"/>
  <c r="S452" i="4"/>
  <c r="Q451" i="4"/>
  <c r="S451" i="4"/>
  <c r="Q450" i="4"/>
  <c r="S450" i="4"/>
  <c r="Q449" i="4"/>
  <c r="S449" i="4"/>
  <c r="Q448" i="4"/>
  <c r="S448" i="4"/>
  <c r="Q447" i="4"/>
  <c r="S447" i="4"/>
  <c r="Q446" i="4"/>
  <c r="S446" i="4"/>
  <c r="Q445" i="4"/>
  <c r="S445" i="4"/>
  <c r="Q444" i="4"/>
  <c r="S444" i="4"/>
  <c r="Q443" i="4"/>
  <c r="S443" i="4"/>
  <c r="Q442" i="4"/>
  <c r="S442" i="4"/>
  <c r="Q441" i="4"/>
  <c r="S441" i="4"/>
  <c r="Q440" i="4"/>
  <c r="S440" i="4"/>
  <c r="Q439" i="4"/>
  <c r="S439" i="4"/>
  <c r="Q438" i="4"/>
  <c r="S438" i="4"/>
  <c r="Q437" i="4"/>
  <c r="S437" i="4"/>
  <c r="Q436" i="4"/>
  <c r="S436" i="4"/>
  <c r="Q435" i="4"/>
  <c r="S435" i="4"/>
  <c r="Q434" i="4"/>
  <c r="S434" i="4"/>
  <c r="Q433" i="4"/>
  <c r="S433" i="4"/>
  <c r="Q432" i="4"/>
  <c r="S432" i="4"/>
  <c r="Q431" i="4"/>
  <c r="S431" i="4"/>
  <c r="Q430" i="4"/>
  <c r="S430" i="4"/>
  <c r="Q429" i="4"/>
  <c r="S429" i="4"/>
  <c r="Q428" i="4"/>
  <c r="S428" i="4"/>
  <c r="Q427" i="4"/>
  <c r="S427" i="4"/>
  <c r="P424" i="4"/>
  <c r="Q426" i="4"/>
  <c r="S426" i="4"/>
  <c r="Q425" i="4"/>
  <c r="S425" i="4"/>
  <c r="Q424" i="4"/>
  <c r="S424" i="4"/>
  <c r="Q423" i="4"/>
  <c r="S423" i="4"/>
  <c r="Q422" i="4"/>
  <c r="S422" i="4"/>
  <c r="U421" i="4"/>
  <c r="Q421" i="4"/>
  <c r="S421" i="4"/>
  <c r="U420" i="4"/>
  <c r="Q420" i="4"/>
  <c r="S420" i="4"/>
  <c r="U419" i="4"/>
  <c r="Q419" i="4"/>
  <c r="S419" i="4"/>
  <c r="Q418" i="4"/>
  <c r="S418" i="4"/>
  <c r="Q417" i="4"/>
  <c r="S417" i="4"/>
  <c r="Q416" i="4"/>
  <c r="S416" i="4"/>
  <c r="Q415" i="4"/>
  <c r="S415" i="4"/>
  <c r="S414" i="4"/>
  <c r="Q413" i="4"/>
  <c r="S413" i="4"/>
  <c r="Q412" i="4"/>
  <c r="S412" i="4"/>
  <c r="Q411" i="4"/>
  <c r="S411" i="4"/>
  <c r="Q410" i="4"/>
  <c r="S410" i="4"/>
  <c r="Q409" i="4"/>
  <c r="S409" i="4"/>
  <c r="Q408" i="4"/>
  <c r="S408" i="4"/>
  <c r="Q407" i="4"/>
  <c r="S407" i="4"/>
  <c r="Q406" i="4"/>
  <c r="S406" i="4"/>
  <c r="Q405" i="4"/>
  <c r="S405" i="4"/>
  <c r="Q404" i="4"/>
  <c r="S404" i="4"/>
  <c r="Q403" i="4"/>
  <c r="S403" i="4"/>
  <c r="Q402" i="4"/>
  <c r="S402" i="4"/>
  <c r="Q401" i="4"/>
  <c r="S401" i="4"/>
  <c r="Q400" i="4"/>
  <c r="S400" i="4"/>
  <c r="Q399" i="4"/>
  <c r="S399" i="4"/>
  <c r="Q398" i="4"/>
  <c r="S398" i="4"/>
  <c r="U397" i="4"/>
  <c r="Q397" i="4"/>
  <c r="S397" i="4"/>
  <c r="U396" i="4"/>
  <c r="Q396" i="4"/>
  <c r="S396" i="4"/>
  <c r="Q395" i="4"/>
  <c r="S395" i="4"/>
  <c r="Q394" i="4"/>
  <c r="S394" i="4"/>
  <c r="Q393" i="4"/>
  <c r="S393" i="4"/>
  <c r="Q392" i="4"/>
  <c r="S392" i="4"/>
  <c r="Q391" i="4"/>
  <c r="S391" i="4"/>
  <c r="Q390" i="4"/>
  <c r="S390" i="4"/>
  <c r="Q389" i="4"/>
  <c r="S389" i="4"/>
  <c r="Q388" i="4"/>
  <c r="S388" i="4"/>
  <c r="Q387" i="4"/>
  <c r="S387" i="4"/>
  <c r="Q386" i="4"/>
  <c r="S386" i="4"/>
  <c r="Q385" i="4"/>
  <c r="S385" i="4"/>
  <c r="U384" i="4"/>
  <c r="Q384" i="4"/>
  <c r="S384" i="4"/>
  <c r="Q383" i="4"/>
  <c r="S383" i="4"/>
  <c r="Q382" i="4"/>
  <c r="S382" i="4"/>
  <c r="Q381" i="4"/>
  <c r="S381" i="4"/>
  <c r="Q380" i="4"/>
  <c r="S380" i="4"/>
  <c r="Q379" i="4"/>
  <c r="S379" i="4"/>
  <c r="Q378" i="4"/>
  <c r="S378" i="4"/>
  <c r="Q377" i="4"/>
  <c r="S377" i="4"/>
  <c r="Q376" i="4"/>
  <c r="S376" i="4"/>
  <c r="Q375" i="4"/>
  <c r="S375" i="4"/>
  <c r="Q374" i="4"/>
  <c r="S374" i="4"/>
  <c r="P373" i="4"/>
  <c r="Q373" i="4"/>
  <c r="S373" i="4"/>
  <c r="Q372" i="4"/>
  <c r="S372" i="4"/>
  <c r="Q371" i="4"/>
  <c r="S371" i="4"/>
  <c r="U370" i="4"/>
  <c r="Q370" i="4"/>
  <c r="S370" i="4"/>
  <c r="U369" i="4"/>
  <c r="Q369" i="4"/>
  <c r="S369" i="4"/>
  <c r="Q368" i="4"/>
  <c r="S368" i="4"/>
  <c r="Q367" i="4"/>
  <c r="S367" i="4"/>
  <c r="Q366" i="4"/>
  <c r="S366" i="4"/>
  <c r="S365" i="4"/>
  <c r="Q364" i="4"/>
  <c r="S364" i="4"/>
  <c r="Q363" i="4"/>
  <c r="S363" i="4"/>
  <c r="Q362" i="4"/>
  <c r="S362" i="4"/>
  <c r="Q361" i="4"/>
  <c r="S361" i="4"/>
  <c r="Q360" i="4"/>
  <c r="S360" i="4"/>
  <c r="Q359" i="4"/>
  <c r="S359" i="4"/>
  <c r="Q358" i="4"/>
  <c r="S358" i="4"/>
  <c r="Q357" i="4"/>
  <c r="S357" i="4"/>
  <c r="Q356" i="4"/>
  <c r="S356" i="4"/>
  <c r="Q355" i="4"/>
  <c r="S355" i="4"/>
  <c r="Q354" i="4"/>
  <c r="S354" i="4"/>
  <c r="Q353" i="4"/>
  <c r="S353" i="4"/>
  <c r="Q352" i="4"/>
  <c r="S352" i="4"/>
  <c r="Q351" i="4"/>
  <c r="S351" i="4"/>
  <c r="Q350" i="4"/>
  <c r="S350" i="4"/>
  <c r="Q349" i="4"/>
  <c r="S349" i="4"/>
  <c r="Q348" i="4"/>
  <c r="S348" i="4"/>
  <c r="U347" i="4"/>
  <c r="Q347" i="4"/>
  <c r="S347" i="4"/>
  <c r="U346" i="4"/>
  <c r="Q346" i="4"/>
  <c r="S346" i="4"/>
  <c r="U345" i="4"/>
  <c r="Q345" i="4"/>
  <c r="S345" i="4"/>
  <c r="Q344" i="4"/>
  <c r="S344" i="4"/>
  <c r="Q343" i="4"/>
  <c r="S343" i="4"/>
  <c r="Q342" i="4"/>
  <c r="S342" i="4"/>
  <c r="Q341" i="4"/>
  <c r="S341" i="4"/>
  <c r="Q340" i="4"/>
  <c r="S340" i="4"/>
  <c r="Q339" i="4"/>
  <c r="S339" i="4"/>
  <c r="Q338" i="4"/>
  <c r="S338" i="4"/>
  <c r="Q337" i="4"/>
  <c r="S337" i="4"/>
  <c r="Q336" i="4"/>
  <c r="S336" i="4"/>
  <c r="Q335" i="4"/>
  <c r="S335" i="4"/>
  <c r="Q334" i="4"/>
  <c r="S334" i="4"/>
  <c r="Q333" i="4"/>
  <c r="S333" i="4"/>
  <c r="Q332" i="4"/>
  <c r="S332" i="4"/>
  <c r="S331" i="4"/>
  <c r="P327" i="4"/>
  <c r="Q330" i="4"/>
  <c r="S330" i="4"/>
  <c r="Q329" i="4"/>
  <c r="S329" i="4"/>
  <c r="Q328" i="4"/>
  <c r="S328" i="4"/>
  <c r="Q327" i="4"/>
  <c r="S327" i="4"/>
  <c r="Q326" i="4"/>
  <c r="S326" i="4"/>
  <c r="Q325" i="4"/>
  <c r="S325" i="4"/>
  <c r="U324" i="4"/>
  <c r="Q324" i="4"/>
  <c r="S324" i="4"/>
  <c r="U323" i="4"/>
  <c r="Q323" i="4"/>
  <c r="S323" i="4"/>
  <c r="U322" i="4"/>
  <c r="Q322" i="4"/>
  <c r="S322" i="4"/>
  <c r="Q321" i="4"/>
  <c r="S321" i="4"/>
  <c r="Q320" i="4"/>
  <c r="S320" i="4"/>
  <c r="Q319" i="4"/>
  <c r="S319" i="4"/>
  <c r="S318" i="4"/>
  <c r="Q317" i="4"/>
  <c r="S317" i="4"/>
  <c r="Q316" i="4"/>
  <c r="S316" i="4"/>
  <c r="Q315" i="4"/>
  <c r="S315" i="4"/>
  <c r="Q314" i="4"/>
  <c r="S314" i="4"/>
  <c r="Q313" i="4"/>
  <c r="S313" i="4"/>
  <c r="Q312" i="4"/>
  <c r="S312" i="4"/>
  <c r="Q311" i="4"/>
  <c r="S311" i="4"/>
  <c r="Q310" i="4"/>
  <c r="S310" i="4"/>
  <c r="Q309" i="4"/>
  <c r="S309" i="4"/>
  <c r="S308" i="4"/>
  <c r="P308" i="4"/>
  <c r="Q307" i="4"/>
  <c r="S307" i="4"/>
  <c r="Q306" i="4"/>
  <c r="S306" i="4"/>
  <c r="Q305" i="4"/>
  <c r="S305" i="4"/>
  <c r="Q304" i="4"/>
  <c r="S304" i="4"/>
  <c r="Q303" i="4"/>
  <c r="S303" i="4"/>
  <c r="Q302" i="4"/>
  <c r="S302" i="4"/>
  <c r="U301" i="4"/>
  <c r="Q301" i="4"/>
  <c r="S301" i="4"/>
  <c r="U300" i="4"/>
  <c r="Q300" i="4"/>
  <c r="S300" i="4"/>
  <c r="U299" i="4"/>
  <c r="Q299" i="4"/>
  <c r="S299" i="4"/>
  <c r="Q298" i="4"/>
  <c r="S298" i="4"/>
  <c r="Q297" i="4"/>
  <c r="S297" i="4"/>
  <c r="Q296" i="4"/>
  <c r="S296" i="4"/>
  <c r="Q295" i="4"/>
  <c r="S295" i="4"/>
  <c r="Q294" i="4"/>
  <c r="S294" i="4"/>
  <c r="Q293" i="4"/>
  <c r="S293" i="4"/>
  <c r="Q292" i="4"/>
  <c r="S292" i="4"/>
  <c r="Q291" i="4"/>
  <c r="S291" i="4"/>
  <c r="Q290" i="4"/>
  <c r="S290" i="4"/>
  <c r="Q289" i="4"/>
  <c r="S289" i="4"/>
  <c r="Q288" i="4"/>
  <c r="S288" i="4"/>
  <c r="Q287" i="4"/>
  <c r="S287" i="4"/>
  <c r="Q286" i="4"/>
  <c r="S286" i="4"/>
  <c r="P282" i="4"/>
  <c r="Q285" i="4"/>
  <c r="S285" i="4"/>
  <c r="Q284" i="4"/>
  <c r="S284" i="4"/>
  <c r="Q283" i="4"/>
  <c r="S283" i="4"/>
  <c r="Q282" i="4"/>
  <c r="S282" i="4"/>
  <c r="Q281" i="4"/>
  <c r="S281" i="4"/>
  <c r="U280" i="4"/>
  <c r="Q280" i="4"/>
  <c r="S280" i="4"/>
  <c r="U279" i="4"/>
  <c r="Q279" i="4"/>
  <c r="S279" i="4"/>
  <c r="U278" i="4"/>
  <c r="Q278" i="4"/>
  <c r="S278" i="4"/>
  <c r="Q277" i="4"/>
  <c r="S277" i="4"/>
  <c r="Q276" i="4"/>
  <c r="S276" i="4"/>
  <c r="Q275" i="4"/>
  <c r="S275" i="4"/>
  <c r="Q274" i="4"/>
  <c r="S274" i="4"/>
  <c r="Q273" i="4"/>
  <c r="S273" i="4"/>
  <c r="Q272" i="4"/>
  <c r="S272" i="4"/>
  <c r="Q271" i="4"/>
  <c r="S271" i="4"/>
  <c r="Q270" i="4"/>
  <c r="S270" i="4"/>
  <c r="Q269" i="4"/>
  <c r="S269" i="4"/>
  <c r="Q268" i="4"/>
  <c r="S268" i="4"/>
  <c r="Q267" i="4"/>
  <c r="S267" i="4"/>
  <c r="P264" i="4"/>
  <c r="Q266" i="4"/>
  <c r="S266" i="4"/>
  <c r="Q265" i="4"/>
  <c r="S265" i="4"/>
  <c r="Q264" i="4"/>
  <c r="S264" i="4"/>
  <c r="Q263" i="4"/>
  <c r="S263" i="4"/>
  <c r="Q262" i="4"/>
  <c r="S262" i="4"/>
  <c r="U261" i="4"/>
  <c r="Q261" i="4"/>
  <c r="S261" i="4"/>
  <c r="U260" i="4"/>
  <c r="Q260" i="4"/>
  <c r="S260" i="4"/>
  <c r="Q259" i="4"/>
  <c r="S259" i="4"/>
  <c r="Q258" i="4"/>
  <c r="S258" i="4"/>
  <c r="Q257" i="4"/>
  <c r="S257" i="4"/>
  <c r="Q256" i="4"/>
  <c r="S256" i="4"/>
  <c r="Q255" i="4"/>
  <c r="S255" i="4"/>
  <c r="Q254" i="4"/>
  <c r="S254" i="4"/>
  <c r="Q253" i="4"/>
  <c r="S253" i="4"/>
  <c r="Q252" i="4"/>
  <c r="S252" i="4"/>
  <c r="Q251" i="4"/>
  <c r="S251" i="4"/>
  <c r="Q250" i="4"/>
  <c r="S250" i="4"/>
  <c r="Q249" i="4"/>
  <c r="S249" i="4"/>
  <c r="P246" i="4"/>
  <c r="Q248" i="4"/>
  <c r="S248" i="4"/>
  <c r="Q247" i="4"/>
  <c r="S247" i="4"/>
  <c r="Q246" i="4"/>
  <c r="S246" i="4"/>
  <c r="Q245" i="4"/>
  <c r="S245" i="4"/>
  <c r="Q244" i="4"/>
  <c r="S244" i="4"/>
  <c r="U243" i="4"/>
  <c r="Q243" i="4"/>
  <c r="S243" i="4"/>
  <c r="U242" i="4"/>
  <c r="Q242" i="4"/>
  <c r="S242" i="4"/>
  <c r="U241" i="4"/>
  <c r="Q241" i="4"/>
  <c r="S241" i="4"/>
  <c r="Q240" i="4"/>
  <c r="S240" i="4"/>
  <c r="Q239" i="4"/>
  <c r="S239" i="4"/>
  <c r="Q238" i="4"/>
  <c r="S238" i="4"/>
  <c r="Q237" i="4"/>
  <c r="S237" i="4"/>
  <c r="Q236" i="4"/>
  <c r="S236" i="4"/>
  <c r="Q235" i="4"/>
  <c r="S235" i="4"/>
  <c r="Q234" i="4"/>
  <c r="S234" i="4"/>
  <c r="Q233" i="4"/>
  <c r="S233" i="4"/>
  <c r="Q232" i="4"/>
  <c r="S232" i="4"/>
  <c r="Q231" i="4"/>
  <c r="S231" i="4"/>
  <c r="Q230" i="4"/>
  <c r="S230" i="4"/>
  <c r="Q229" i="4"/>
  <c r="S229" i="4"/>
  <c r="Q228" i="4"/>
  <c r="S228" i="4"/>
  <c r="Q227" i="4"/>
  <c r="S227" i="4"/>
  <c r="Q226" i="4"/>
  <c r="S226" i="4"/>
  <c r="Q225" i="4"/>
  <c r="S225" i="4"/>
  <c r="Q224" i="4"/>
  <c r="S224" i="4"/>
  <c r="Q223" i="4"/>
  <c r="S223" i="4"/>
  <c r="U222" i="4"/>
  <c r="Q222" i="4"/>
  <c r="S222" i="4"/>
  <c r="U221" i="4"/>
  <c r="Q221" i="4"/>
  <c r="S221" i="4"/>
  <c r="Q220" i="4"/>
  <c r="S220" i="4"/>
  <c r="Q219" i="4"/>
  <c r="S219" i="4"/>
  <c r="Q218" i="4"/>
  <c r="S218" i="4"/>
  <c r="Q217" i="4"/>
  <c r="S217" i="4"/>
  <c r="Q216" i="4"/>
  <c r="S216" i="4"/>
  <c r="Q215" i="4"/>
  <c r="S215" i="4"/>
  <c r="Q214" i="4"/>
  <c r="S214" i="4"/>
  <c r="Q213" i="4"/>
  <c r="S213" i="4"/>
  <c r="Q212" i="4"/>
  <c r="S212" i="4"/>
  <c r="Q211" i="4"/>
  <c r="S211" i="4"/>
  <c r="Q210" i="4"/>
  <c r="S210" i="4"/>
  <c r="P209" i="4"/>
  <c r="Q209" i="4"/>
  <c r="S209" i="4"/>
  <c r="P206" i="4"/>
  <c r="Q208" i="4"/>
  <c r="S208" i="4"/>
  <c r="Q207" i="4"/>
  <c r="S207" i="4"/>
  <c r="Q206" i="4"/>
  <c r="S206" i="4"/>
  <c r="Q205" i="4"/>
  <c r="S205" i="4"/>
  <c r="Q204" i="4"/>
  <c r="S204" i="4"/>
  <c r="U203" i="4"/>
  <c r="Q203" i="4"/>
  <c r="S203" i="4"/>
  <c r="U202" i="4"/>
  <c r="Q202" i="4"/>
  <c r="S202" i="4"/>
  <c r="Q201" i="4"/>
  <c r="S201" i="4"/>
  <c r="Q200" i="4"/>
  <c r="S200" i="4"/>
  <c r="Q199" i="4"/>
  <c r="S199" i="4"/>
  <c r="Q198" i="4"/>
  <c r="S198" i="4"/>
  <c r="Q197" i="4"/>
  <c r="S197" i="4"/>
  <c r="Q196" i="4"/>
  <c r="S196" i="4"/>
  <c r="Q195" i="4"/>
  <c r="S195" i="4"/>
  <c r="Q194" i="4"/>
  <c r="S194" i="4"/>
  <c r="Q193" i="4"/>
  <c r="S193" i="4"/>
  <c r="Q192" i="4"/>
  <c r="S192" i="4"/>
  <c r="P189" i="4"/>
  <c r="Q191" i="4"/>
  <c r="S191" i="4"/>
  <c r="Q190" i="4"/>
  <c r="S190" i="4"/>
  <c r="Q189" i="4"/>
  <c r="S189" i="4"/>
  <c r="Q188" i="4"/>
  <c r="S188" i="4"/>
  <c r="Q187" i="4"/>
  <c r="S187" i="4"/>
  <c r="U186" i="4"/>
  <c r="Q186" i="4"/>
  <c r="S186" i="4"/>
  <c r="U185" i="4"/>
  <c r="Q185" i="4"/>
  <c r="S185" i="4"/>
  <c r="U184" i="4"/>
  <c r="Q184" i="4"/>
  <c r="S184" i="4"/>
  <c r="Q183" i="4"/>
  <c r="S183" i="4"/>
  <c r="Q182" i="4"/>
  <c r="S182" i="4"/>
  <c r="Q181" i="4"/>
  <c r="S181" i="4"/>
  <c r="S180" i="4"/>
  <c r="Q179" i="4"/>
  <c r="S179" i="4"/>
  <c r="Q178" i="4"/>
  <c r="S178" i="4"/>
  <c r="Q177" i="4"/>
  <c r="S177" i="4"/>
  <c r="Q176" i="4"/>
  <c r="S176" i="4"/>
  <c r="Q175" i="4"/>
  <c r="S175" i="4"/>
  <c r="Q174" i="4"/>
  <c r="S174" i="4"/>
  <c r="Q173" i="4"/>
  <c r="S173" i="4"/>
  <c r="Q172" i="4"/>
  <c r="S172" i="4"/>
  <c r="Q171" i="4"/>
  <c r="S171" i="4"/>
  <c r="P170" i="4"/>
  <c r="Q170" i="4"/>
  <c r="S170" i="4"/>
  <c r="S169" i="4"/>
  <c r="P165" i="4"/>
  <c r="Q168" i="4"/>
  <c r="S168" i="4"/>
  <c r="Q167" i="4"/>
  <c r="S167" i="4"/>
  <c r="Q166" i="4"/>
  <c r="S166" i="4"/>
  <c r="Q165" i="4"/>
  <c r="S165" i="4"/>
  <c r="Q164" i="4"/>
  <c r="S164" i="4"/>
  <c r="Q163" i="4"/>
  <c r="S163" i="4"/>
  <c r="U162" i="4"/>
  <c r="Q162" i="4"/>
  <c r="S162" i="4"/>
  <c r="U161" i="4"/>
  <c r="Q161" i="4"/>
  <c r="S161" i="4"/>
  <c r="Q160" i="4"/>
  <c r="S160" i="4"/>
  <c r="Q159" i="4"/>
  <c r="S159" i="4"/>
  <c r="Q158" i="4"/>
  <c r="S158" i="4"/>
  <c r="Q157" i="4"/>
  <c r="S157" i="4"/>
  <c r="Q156" i="4"/>
  <c r="S156" i="4"/>
  <c r="Q155" i="4"/>
  <c r="S155" i="4"/>
  <c r="Q154" i="4"/>
  <c r="S154" i="4"/>
  <c r="Q153" i="4"/>
  <c r="S153" i="4"/>
  <c r="Q152" i="4"/>
  <c r="S152" i="4"/>
  <c r="Q151" i="4"/>
  <c r="S151" i="4"/>
  <c r="Q150" i="4"/>
  <c r="S150" i="4"/>
  <c r="P147" i="4"/>
  <c r="Q149" i="4"/>
  <c r="S149" i="4"/>
  <c r="Q148" i="4"/>
  <c r="S148" i="4"/>
  <c r="Q147" i="4"/>
  <c r="S147" i="4"/>
  <c r="Q146" i="4"/>
  <c r="S146" i="4"/>
  <c r="Q145" i="4"/>
  <c r="S145" i="4"/>
  <c r="U144" i="4"/>
  <c r="Q144" i="4"/>
  <c r="S144" i="4"/>
  <c r="U143" i="4"/>
  <c r="Q143" i="4"/>
  <c r="S143" i="4"/>
  <c r="U142" i="4"/>
  <c r="Q142" i="4"/>
  <c r="S142" i="4"/>
  <c r="Q141" i="4"/>
  <c r="S141" i="4"/>
  <c r="Q140" i="4"/>
  <c r="S140" i="4"/>
  <c r="Q139" i="4"/>
  <c r="S139" i="4"/>
  <c r="Q138" i="4"/>
  <c r="S138" i="4"/>
  <c r="Q137" i="4"/>
  <c r="S137" i="4"/>
  <c r="Q136" i="4"/>
  <c r="S136" i="4"/>
  <c r="Q135" i="4"/>
  <c r="S135" i="4"/>
  <c r="Q134" i="4"/>
  <c r="S134" i="4"/>
  <c r="Q133" i="4"/>
  <c r="S133" i="4"/>
  <c r="Q132" i="4"/>
  <c r="S132" i="4"/>
  <c r="Q131" i="4"/>
  <c r="S131" i="4"/>
  <c r="Q130" i="4"/>
  <c r="S130" i="4"/>
  <c r="P129" i="4"/>
  <c r="Q129" i="4"/>
  <c r="S129" i="4"/>
  <c r="Q128" i="4"/>
  <c r="S128" i="4"/>
  <c r="Q127" i="4"/>
  <c r="S127" i="4"/>
  <c r="P126" i="4"/>
  <c r="Q126" i="4"/>
  <c r="S126" i="4"/>
  <c r="Q125" i="4"/>
  <c r="S125" i="4"/>
  <c r="Q124" i="4"/>
  <c r="S124" i="4"/>
  <c r="Q123" i="4"/>
  <c r="S123" i="4"/>
  <c r="Q122" i="4"/>
  <c r="S122" i="4"/>
  <c r="U121" i="4"/>
  <c r="Q121" i="4"/>
  <c r="S121" i="4"/>
  <c r="U120" i="4"/>
  <c r="Q120" i="4"/>
  <c r="S120" i="4"/>
  <c r="U119" i="4"/>
  <c r="Q119" i="4"/>
  <c r="S119" i="4"/>
  <c r="Q118" i="4"/>
  <c r="S118" i="4"/>
  <c r="Q117" i="4"/>
  <c r="S117" i="4"/>
  <c r="Q116" i="4"/>
  <c r="S116" i="4"/>
  <c r="Q115" i="4"/>
  <c r="S115" i="4"/>
  <c r="Q114" i="4"/>
  <c r="S114" i="4"/>
  <c r="Q113" i="4"/>
  <c r="S113" i="4"/>
  <c r="Q112" i="4"/>
  <c r="S112" i="4"/>
  <c r="Q111" i="4"/>
  <c r="S111" i="4"/>
  <c r="Q110" i="4"/>
  <c r="S110" i="4"/>
  <c r="Q109" i="4"/>
  <c r="S109" i="4"/>
  <c r="Q108" i="4"/>
  <c r="S108" i="4"/>
  <c r="Q107" i="4"/>
  <c r="S107" i="4"/>
  <c r="P106" i="4"/>
  <c r="P103" i="4"/>
  <c r="Q106" i="4"/>
  <c r="S106" i="4"/>
  <c r="Q105" i="4"/>
  <c r="S105" i="4"/>
  <c r="Q104" i="4"/>
  <c r="S104" i="4"/>
  <c r="Q103" i="4"/>
  <c r="S103" i="4"/>
  <c r="Q102" i="4"/>
  <c r="S102" i="4"/>
  <c r="P101" i="4"/>
  <c r="Q101" i="4"/>
  <c r="S101" i="4"/>
  <c r="Q100" i="4"/>
  <c r="S100" i="4"/>
  <c r="Q99" i="4"/>
  <c r="S99" i="4"/>
  <c r="Q98" i="4"/>
  <c r="S98" i="4"/>
  <c r="Q97" i="4"/>
  <c r="S97" i="4"/>
  <c r="Q96" i="4"/>
  <c r="S96" i="4"/>
  <c r="Q95" i="4"/>
  <c r="S95" i="4"/>
  <c r="Q94" i="4"/>
  <c r="S94" i="4"/>
  <c r="Q93" i="4"/>
  <c r="S93" i="4"/>
  <c r="Q92" i="4"/>
  <c r="S92" i="4"/>
  <c r="Q91" i="4"/>
  <c r="S91" i="4"/>
  <c r="Q90" i="4"/>
  <c r="S90" i="4"/>
  <c r="Q89" i="4"/>
  <c r="S89" i="4"/>
  <c r="Q88" i="4"/>
  <c r="S88" i="4"/>
  <c r="Q87" i="4"/>
  <c r="S87" i="4"/>
  <c r="Q86" i="4"/>
  <c r="S86" i="4"/>
  <c r="Q85" i="4"/>
  <c r="S85" i="4"/>
  <c r="Q84" i="4"/>
  <c r="S84" i="4"/>
  <c r="Q83" i="4"/>
  <c r="S83" i="4"/>
  <c r="Q82" i="4"/>
  <c r="S82" i="4"/>
  <c r="Q81" i="4"/>
  <c r="S81" i="4"/>
  <c r="Q80" i="4"/>
  <c r="S80" i="4"/>
  <c r="U79" i="4"/>
  <c r="Q79" i="4"/>
  <c r="S79" i="4"/>
  <c r="Q78" i="4"/>
  <c r="S78" i="4"/>
  <c r="Q77" i="4"/>
  <c r="S77" i="4"/>
  <c r="Q76" i="4"/>
  <c r="S76" i="4"/>
  <c r="P75" i="4"/>
  <c r="Q75" i="4"/>
  <c r="S75" i="4"/>
  <c r="Q74" i="4"/>
  <c r="S74" i="4"/>
  <c r="Q73" i="4"/>
  <c r="S73" i="4"/>
  <c r="Q72" i="4"/>
  <c r="S72" i="4"/>
  <c r="P71" i="4"/>
  <c r="Q71" i="4"/>
  <c r="S71" i="4"/>
  <c r="Q70" i="4"/>
  <c r="S70" i="4"/>
  <c r="Q69" i="4"/>
  <c r="S69" i="4"/>
  <c r="Q68" i="4"/>
  <c r="S68" i="4"/>
  <c r="Q67" i="4"/>
  <c r="S67" i="4"/>
  <c r="Q66" i="4"/>
  <c r="S66" i="4"/>
  <c r="P65" i="4"/>
  <c r="Q65" i="4"/>
  <c r="S65" i="4"/>
  <c r="Q64" i="4"/>
  <c r="S64" i="4"/>
  <c r="Q63" i="4"/>
  <c r="S63" i="4"/>
  <c r="Q62" i="4"/>
  <c r="S62" i="4"/>
  <c r="Q61" i="4"/>
  <c r="S61" i="4"/>
  <c r="S60" i="4"/>
  <c r="Q59" i="4"/>
  <c r="S59" i="4"/>
  <c r="S58" i="4"/>
  <c r="Q57" i="4"/>
  <c r="S57" i="4"/>
  <c r="S56" i="4"/>
  <c r="Q55" i="4"/>
  <c r="S55" i="4"/>
  <c r="S54" i="4"/>
  <c r="Q53" i="4"/>
  <c r="S53" i="4"/>
  <c r="S52" i="4"/>
  <c r="S51" i="4"/>
  <c r="Q50" i="4"/>
  <c r="S50" i="4"/>
  <c r="Q49" i="4"/>
  <c r="S49" i="4"/>
  <c r="S48" i="4"/>
  <c r="Q47" i="4"/>
  <c r="S47" i="4"/>
  <c r="S46" i="4"/>
  <c r="Q45" i="4"/>
  <c r="S45" i="4"/>
  <c r="Q44" i="4"/>
  <c r="S44" i="4"/>
  <c r="Q43" i="4"/>
  <c r="S43" i="4"/>
  <c r="Q42" i="4"/>
  <c r="S42" i="4"/>
  <c r="Q41" i="4"/>
  <c r="S41" i="4"/>
  <c r="Q40" i="4"/>
  <c r="S40" i="4"/>
  <c r="Q39" i="4"/>
  <c r="S39" i="4"/>
  <c r="Q38" i="4"/>
  <c r="S38" i="4"/>
  <c r="Q37" i="4"/>
  <c r="S37" i="4"/>
  <c r="Q36" i="4"/>
  <c r="S36" i="4"/>
  <c r="Q35" i="4"/>
  <c r="S35" i="4"/>
  <c r="Q34" i="4"/>
  <c r="S34" i="4"/>
  <c r="S33" i="4"/>
  <c r="Q32" i="4"/>
  <c r="S32" i="4"/>
  <c r="Q31" i="4"/>
  <c r="S31" i="4"/>
  <c r="Q30" i="4"/>
  <c r="S30" i="4"/>
  <c r="Q29" i="4"/>
  <c r="S29" i="4"/>
  <c r="Q28" i="4"/>
  <c r="S28" i="4"/>
  <c r="Q27" i="4"/>
  <c r="S27" i="4"/>
  <c r="Q26" i="4"/>
  <c r="S26" i="4"/>
  <c r="Q25" i="4"/>
  <c r="S25" i="4"/>
  <c r="Q24" i="4"/>
  <c r="S24" i="4"/>
  <c r="Q23" i="4"/>
  <c r="S23" i="4"/>
  <c r="Q22" i="4"/>
  <c r="S22" i="4"/>
  <c r="Q21" i="4"/>
  <c r="S21" i="4"/>
  <c r="P20" i="4"/>
  <c r="Q20" i="4"/>
  <c r="S20" i="4"/>
  <c r="Q19" i="4"/>
  <c r="S19" i="4"/>
  <c r="Q18" i="4"/>
  <c r="S18" i="4"/>
  <c r="Q17" i="4"/>
  <c r="S17" i="4"/>
  <c r="P16" i="4"/>
  <c r="Q16" i="4"/>
  <c r="S16" i="4"/>
  <c r="Q15" i="4"/>
  <c r="S15" i="4"/>
  <c r="Q14" i="4"/>
  <c r="S14" i="4"/>
  <c r="Q13" i="4"/>
  <c r="S13" i="4"/>
  <c r="Q12" i="4"/>
  <c r="S12" i="4"/>
  <c r="Q11" i="4"/>
  <c r="S11" i="4"/>
  <c r="Q10" i="4"/>
  <c r="S10" i="4"/>
  <c r="Q9" i="4"/>
  <c r="S9" i="4"/>
  <c r="Q8" i="4"/>
  <c r="S8" i="4"/>
  <c r="Q7" i="4"/>
  <c r="S7" i="4"/>
  <c r="P6" i="4"/>
  <c r="Q6" i="4"/>
  <c r="S6" i="4"/>
  <c r="P5" i="4"/>
  <c r="Q5" i="4"/>
  <c r="S5" i="4"/>
  <c r="Q4" i="4"/>
  <c r="S4" i="4"/>
  <c r="Q3" i="4"/>
  <c r="S3" i="4"/>
  <c r="Q2" i="4"/>
  <c r="S2" i="4"/>
  <c r="Q396" i="3"/>
  <c r="S396" i="3" s="1"/>
  <c r="Q382" i="3"/>
  <c r="P529" i="3"/>
  <c r="Q520" i="3"/>
  <c r="S520" i="3" s="1"/>
  <c r="P521" i="3"/>
  <c r="Q515" i="3"/>
  <c r="S515" i="3" s="1"/>
  <c r="P516" i="3"/>
  <c r="Q516" i="3" s="1"/>
  <c r="S516" i="3" s="1"/>
  <c r="Q506" i="3"/>
  <c r="S506" i="3" s="1"/>
  <c r="P507" i="3"/>
  <c r="Q507" i="3" s="1"/>
  <c r="S507" i="3" s="1"/>
  <c r="Q500" i="3"/>
  <c r="S500" i="3" s="1"/>
  <c r="Q501" i="3"/>
  <c r="S501" i="3" s="1"/>
  <c r="Q489" i="3"/>
  <c r="S489" i="3" s="1"/>
  <c r="P490" i="3"/>
  <c r="Q490" i="3" s="1"/>
  <c r="S490" i="3" s="1"/>
  <c r="Q478" i="3"/>
  <c r="S478" i="3" s="1"/>
  <c r="Q479" i="3"/>
  <c r="S479" i="3" s="1"/>
  <c r="Q455" i="3"/>
  <c r="S455" i="3" s="1"/>
  <c r="Q456" i="3"/>
  <c r="S456" i="3" s="1"/>
  <c r="S451" i="3"/>
  <c r="S452" i="3"/>
  <c r="S447" i="3"/>
  <c r="S448" i="3"/>
  <c r="P434" i="3"/>
  <c r="Q434" i="3" s="1"/>
  <c r="S434" i="3" s="1"/>
  <c r="Q408" i="3"/>
  <c r="S408" i="3" s="1"/>
  <c r="S412" i="3"/>
  <c r="Q360" i="3"/>
  <c r="S360" i="3" s="1"/>
  <c r="S362" i="3"/>
  <c r="P337" i="3"/>
  <c r="Q314" i="3"/>
  <c r="S314" i="3" s="1"/>
  <c r="S317" i="3"/>
  <c r="P292" i="3"/>
  <c r="Q292" i="3" s="1"/>
  <c r="S292" i="3" s="1"/>
  <c r="P274" i="3"/>
  <c r="Q274" i="3" s="1"/>
  <c r="S274" i="3" s="1"/>
  <c r="P256" i="3"/>
  <c r="Q256" i="3" s="1"/>
  <c r="S256" i="3" s="1"/>
  <c r="Q238" i="3"/>
  <c r="S238" i="3" s="1"/>
  <c r="Q237" i="3"/>
  <c r="S237" i="3" s="1"/>
  <c r="P216" i="3"/>
  <c r="P199" i="3"/>
  <c r="Q199" i="3" s="1"/>
  <c r="S199" i="3" s="1"/>
  <c r="P175" i="3"/>
  <c r="Q178" i="3" s="1"/>
  <c r="S178" i="3" s="1"/>
  <c r="P157" i="3"/>
  <c r="Q159" i="3" s="1"/>
  <c r="S159" i="3" s="1"/>
  <c r="P136" i="3"/>
  <c r="Q135" i="3" s="1"/>
  <c r="P116" i="3"/>
  <c r="P113" i="3"/>
  <c r="Q110" i="3"/>
  <c r="S110" i="3" s="1"/>
  <c r="P111" i="3"/>
  <c r="Q111" i="3" s="1"/>
  <c r="S111" i="3" s="1"/>
  <c r="Q101" i="3"/>
  <c r="S101" i="3" s="1"/>
  <c r="Q103" i="3"/>
  <c r="S103" i="3" s="1"/>
  <c r="Q97" i="3"/>
  <c r="S97" i="3" s="1"/>
  <c r="Q96" i="3"/>
  <c r="S96" i="3" s="1"/>
  <c r="Q91" i="3"/>
  <c r="S91" i="3" s="1"/>
  <c r="S90" i="3"/>
  <c r="Q86" i="3"/>
  <c r="S86" i="3" s="1"/>
  <c r="P85" i="3"/>
  <c r="Q80" i="3"/>
  <c r="S80" i="3" s="1"/>
  <c r="P81" i="3"/>
  <c r="Q74" i="3"/>
  <c r="S74" i="3" s="1"/>
  <c r="P75" i="3"/>
  <c r="Q75" i="3" s="1"/>
  <c r="S75" i="3" s="1"/>
  <c r="Q533" i="3"/>
  <c r="S533" i="3" s="1"/>
  <c r="P532" i="3"/>
  <c r="Q531" i="3"/>
  <c r="S531" i="3" s="1"/>
  <c r="P528" i="3"/>
  <c r="Q528" i="3" s="1"/>
  <c r="S528" i="3" s="1"/>
  <c r="Q527" i="3"/>
  <c r="S527" i="3" s="1"/>
  <c r="Q526" i="3"/>
  <c r="S526" i="3" s="1"/>
  <c r="Q525" i="3"/>
  <c r="S525" i="3" s="1"/>
  <c r="P524" i="3"/>
  <c r="Q523" i="3"/>
  <c r="S523" i="3" s="1"/>
  <c r="Q522" i="3"/>
  <c r="S522" i="3" s="1"/>
  <c r="P519" i="3"/>
  <c r="Q519" i="3" s="1"/>
  <c r="S519" i="3" s="1"/>
  <c r="Q518" i="3"/>
  <c r="S518" i="3" s="1"/>
  <c r="Q517" i="3"/>
  <c r="S517" i="3" s="1"/>
  <c r="Q514" i="3"/>
  <c r="S514" i="3" s="1"/>
  <c r="P513" i="3"/>
  <c r="Q513" i="3" s="1"/>
  <c r="S513" i="3" s="1"/>
  <c r="Q512" i="3"/>
  <c r="S512" i="3" s="1"/>
  <c r="Q511" i="3"/>
  <c r="S511" i="3" s="1"/>
  <c r="Q510" i="3"/>
  <c r="S510" i="3" s="1"/>
  <c r="Q509" i="3"/>
  <c r="S509" i="3" s="1"/>
  <c r="Q508" i="3"/>
  <c r="S508" i="3" s="1"/>
  <c r="Q505" i="3"/>
  <c r="S505" i="3" s="1"/>
  <c r="Q504" i="3"/>
  <c r="S504" i="3" s="1"/>
  <c r="Q503" i="3"/>
  <c r="S503" i="3" s="1"/>
  <c r="Q502" i="3"/>
  <c r="S502" i="3" s="1"/>
  <c r="Q499" i="3"/>
  <c r="S499" i="3" s="1"/>
  <c r="Q498" i="3"/>
  <c r="S498" i="3" s="1"/>
  <c r="Q497" i="3"/>
  <c r="S497" i="3" s="1"/>
  <c r="Q496" i="3"/>
  <c r="S496" i="3" s="1"/>
  <c r="S495" i="3"/>
  <c r="Q494" i="3"/>
  <c r="S494" i="3" s="1"/>
  <c r="Q493" i="3"/>
  <c r="S493" i="3" s="1"/>
  <c r="Q492" i="3"/>
  <c r="S492" i="3" s="1"/>
  <c r="Q491" i="3"/>
  <c r="S491" i="3" s="1"/>
  <c r="Q488" i="3"/>
  <c r="S488" i="3" s="1"/>
  <c r="Q487" i="3"/>
  <c r="S487" i="3" s="1"/>
  <c r="U486" i="3"/>
  <c r="S486" i="3"/>
  <c r="Q485" i="3"/>
  <c r="S485" i="3" s="1"/>
  <c r="Q484" i="3"/>
  <c r="S484" i="3" s="1"/>
  <c r="Q483" i="3"/>
  <c r="S483" i="3" s="1"/>
  <c r="Q482" i="3"/>
  <c r="S482" i="3" s="1"/>
  <c r="Q481" i="3"/>
  <c r="S481" i="3" s="1"/>
  <c r="Q480" i="3"/>
  <c r="S480" i="3" s="1"/>
  <c r="Q477" i="3"/>
  <c r="S477" i="3" s="1"/>
  <c r="Q476" i="3"/>
  <c r="S476" i="3" s="1"/>
  <c r="Q475" i="3"/>
  <c r="S475" i="3" s="1"/>
  <c r="S474" i="3"/>
  <c r="Q473" i="3"/>
  <c r="S473" i="3" s="1"/>
  <c r="S472" i="3"/>
  <c r="S471" i="3"/>
  <c r="Q470" i="3"/>
  <c r="S470" i="3" s="1"/>
  <c r="S469" i="3"/>
  <c r="Q468" i="3"/>
  <c r="S468" i="3" s="1"/>
  <c r="S467" i="3"/>
  <c r="Q466" i="3"/>
  <c r="S466" i="3" s="1"/>
  <c r="Q465" i="3"/>
  <c r="S465" i="3" s="1"/>
  <c r="S464" i="3"/>
  <c r="Q463" i="3"/>
  <c r="S463" i="3" s="1"/>
  <c r="P462" i="3"/>
  <c r="Q462" i="3" s="1"/>
  <c r="S462" i="3" s="1"/>
  <c r="Q461" i="3"/>
  <c r="S461" i="3" s="1"/>
  <c r="Q460" i="3"/>
  <c r="S460" i="3" s="1"/>
  <c r="Q459" i="3"/>
  <c r="S459" i="3" s="1"/>
  <c r="Q458" i="3"/>
  <c r="S458" i="3" s="1"/>
  <c r="Q457" i="3"/>
  <c r="S457" i="3" s="1"/>
  <c r="Q454" i="3"/>
  <c r="S454" i="3" s="1"/>
  <c r="S453" i="3"/>
  <c r="Q450" i="3"/>
  <c r="S449" i="3"/>
  <c r="Q446" i="3"/>
  <c r="S446" i="3" s="1"/>
  <c r="Q445" i="3"/>
  <c r="S445" i="3" s="1"/>
  <c r="Q444" i="3"/>
  <c r="S444" i="3" s="1"/>
  <c r="Q443" i="3"/>
  <c r="S443" i="3" s="1"/>
  <c r="Q442" i="3"/>
  <c r="S442" i="3" s="1"/>
  <c r="Q441" i="3"/>
  <c r="S441" i="3" s="1"/>
  <c r="Q440" i="3"/>
  <c r="S440" i="3" s="1"/>
  <c r="Q439" i="3"/>
  <c r="S439" i="3" s="1"/>
  <c r="Q438" i="3"/>
  <c r="S438" i="3" s="1"/>
  <c r="Q437" i="3"/>
  <c r="S437" i="3" s="1"/>
  <c r="Q435" i="3"/>
  <c r="S435" i="3" s="1"/>
  <c r="Q433" i="3"/>
  <c r="S433" i="3" s="1"/>
  <c r="Q432" i="3"/>
  <c r="S432" i="3" s="1"/>
  <c r="U431" i="3"/>
  <c r="Q431" i="3"/>
  <c r="S431" i="3" s="1"/>
  <c r="U430" i="3"/>
  <c r="Q430" i="3"/>
  <c r="S430" i="3" s="1"/>
  <c r="U429" i="3"/>
  <c r="Q429" i="3"/>
  <c r="S429" i="3" s="1"/>
  <c r="Q428" i="3"/>
  <c r="S428" i="3" s="1"/>
  <c r="Q427" i="3"/>
  <c r="S427" i="3" s="1"/>
  <c r="Q426" i="3"/>
  <c r="S426" i="3" s="1"/>
  <c r="Q425" i="3"/>
  <c r="S425" i="3" s="1"/>
  <c r="S424" i="3"/>
  <c r="Q423" i="3"/>
  <c r="S423" i="3" s="1"/>
  <c r="Q422" i="3"/>
  <c r="S422" i="3" s="1"/>
  <c r="Q421" i="3"/>
  <c r="S421" i="3" s="1"/>
  <c r="Q420" i="3"/>
  <c r="S420" i="3" s="1"/>
  <c r="Q419" i="3"/>
  <c r="S419" i="3" s="1"/>
  <c r="Q418" i="3"/>
  <c r="S418" i="3" s="1"/>
  <c r="Q417" i="3"/>
  <c r="S417" i="3" s="1"/>
  <c r="Q416" i="3"/>
  <c r="S416" i="3" s="1"/>
  <c r="Q415" i="3"/>
  <c r="S415" i="3" s="1"/>
  <c r="Q414" i="3"/>
  <c r="S414" i="3" s="1"/>
  <c r="Q413" i="3"/>
  <c r="S413" i="3" s="1"/>
  <c r="Q411" i="3"/>
  <c r="S411" i="3" s="1"/>
  <c r="Q410" i="3"/>
  <c r="S410" i="3" s="1"/>
  <c r="Q409" i="3"/>
  <c r="S409" i="3" s="1"/>
  <c r="U407" i="3"/>
  <c r="Q407" i="3"/>
  <c r="S407" i="3" s="1"/>
  <c r="U406" i="3"/>
  <c r="Q406" i="3"/>
  <c r="S406" i="3" s="1"/>
  <c r="Q405" i="3"/>
  <c r="S405" i="3" s="1"/>
  <c r="Q404" i="3"/>
  <c r="S404" i="3" s="1"/>
  <c r="Q403" i="3"/>
  <c r="S403" i="3" s="1"/>
  <c r="Q402" i="3"/>
  <c r="S402" i="3" s="1"/>
  <c r="Q401" i="3"/>
  <c r="S401" i="3" s="1"/>
  <c r="Q400" i="3"/>
  <c r="S400" i="3" s="1"/>
  <c r="Q399" i="3"/>
  <c r="S399" i="3" s="1"/>
  <c r="Q398" i="3"/>
  <c r="S398" i="3" s="1"/>
  <c r="Q397" i="3"/>
  <c r="S397" i="3" s="1"/>
  <c r="Q395" i="3"/>
  <c r="S395" i="3" s="1"/>
  <c r="U394" i="3"/>
  <c r="Q394" i="3"/>
  <c r="S394" i="3" s="1"/>
  <c r="Q393" i="3"/>
  <c r="S393" i="3" s="1"/>
  <c r="Q392" i="3"/>
  <c r="S392" i="3" s="1"/>
  <c r="Q390" i="3"/>
  <c r="S390" i="3" s="1"/>
  <c r="Q389" i="3"/>
  <c r="S389" i="3" s="1"/>
  <c r="Q388" i="3"/>
  <c r="S388" i="3" s="1"/>
  <c r="Q387" i="3"/>
  <c r="S387" i="3" s="1"/>
  <c r="Q386" i="3"/>
  <c r="S386" i="3" s="1"/>
  <c r="Q385" i="3"/>
  <c r="S385" i="3" s="1"/>
  <c r="Q381" i="3"/>
  <c r="S381" i="3" s="1"/>
  <c r="U380" i="3"/>
  <c r="Q380" i="3"/>
  <c r="S380" i="3" s="1"/>
  <c r="U379" i="3"/>
  <c r="Q379" i="3"/>
  <c r="S379" i="3" s="1"/>
  <c r="Q377" i="3"/>
  <c r="S377" i="3" s="1"/>
  <c r="S375" i="3"/>
  <c r="Q374" i="3"/>
  <c r="S374" i="3" s="1"/>
  <c r="Q372" i="3"/>
  <c r="S372" i="3" s="1"/>
  <c r="Q371" i="3"/>
  <c r="S371" i="3" s="1"/>
  <c r="Q370" i="3"/>
  <c r="S370" i="3" s="1"/>
  <c r="Q369" i="3"/>
  <c r="S369" i="3" s="1"/>
  <c r="Q368" i="3"/>
  <c r="S368" i="3" s="1"/>
  <c r="Q366" i="3"/>
  <c r="S366" i="3" s="1"/>
  <c r="Q365" i="3"/>
  <c r="S365" i="3" s="1"/>
  <c r="Q364" i="3"/>
  <c r="S364" i="3" s="1"/>
  <c r="Q363" i="3"/>
  <c r="S363" i="3" s="1"/>
  <c r="Q359" i="3"/>
  <c r="S359" i="3" s="1"/>
  <c r="Q358" i="3"/>
  <c r="S358" i="3" s="1"/>
  <c r="U357" i="3"/>
  <c r="Q357" i="3"/>
  <c r="S357" i="3" s="1"/>
  <c r="U356" i="3"/>
  <c r="Q356" i="3"/>
  <c r="S356" i="3" s="1"/>
  <c r="U355" i="3"/>
  <c r="Q355" i="3"/>
  <c r="S355" i="3" s="1"/>
  <c r="Q354" i="3"/>
  <c r="S354" i="3" s="1"/>
  <c r="Q353" i="3"/>
  <c r="S353" i="3" s="1"/>
  <c r="Q352" i="3"/>
  <c r="S352" i="3" s="1"/>
  <c r="Q351" i="3"/>
  <c r="S351" i="3" s="1"/>
  <c r="Q350" i="3"/>
  <c r="S350" i="3" s="1"/>
  <c r="Q349" i="3"/>
  <c r="S349" i="3" s="1"/>
  <c r="Q348" i="3"/>
  <c r="S348" i="3" s="1"/>
  <c r="Q347" i="3"/>
  <c r="S347" i="3" s="1"/>
  <c r="Q346" i="3"/>
  <c r="S346" i="3" s="1"/>
  <c r="Q345" i="3"/>
  <c r="S345" i="3" s="1"/>
  <c r="Q344" i="3"/>
  <c r="S344" i="3" s="1"/>
  <c r="Q343" i="3"/>
  <c r="S343" i="3" s="1"/>
  <c r="Q342" i="3"/>
  <c r="S342" i="3" s="1"/>
  <c r="S341" i="3"/>
  <c r="Q339" i="3"/>
  <c r="S339" i="3" s="1"/>
  <c r="Q338" i="3"/>
  <c r="S338" i="3" s="1"/>
  <c r="Q336" i="3"/>
  <c r="S336" i="3" s="1"/>
  <c r="Q335" i="3"/>
  <c r="S335" i="3" s="1"/>
  <c r="U334" i="3"/>
  <c r="Q334" i="3"/>
  <c r="S334" i="3" s="1"/>
  <c r="U333" i="3"/>
  <c r="Q333" i="3"/>
  <c r="S333" i="3" s="1"/>
  <c r="U332" i="3"/>
  <c r="Q332" i="3"/>
  <c r="S332" i="3" s="1"/>
  <c r="Q331" i="3"/>
  <c r="S331" i="3" s="1"/>
  <c r="Q330" i="3"/>
  <c r="S330" i="3" s="1"/>
  <c r="Q329" i="3"/>
  <c r="S329" i="3" s="1"/>
  <c r="S328" i="3"/>
  <c r="Q327" i="3"/>
  <c r="S327" i="3" s="1"/>
  <c r="Q326" i="3"/>
  <c r="S326" i="3" s="1"/>
  <c r="Q325" i="3"/>
  <c r="S325" i="3" s="1"/>
  <c r="Q324" i="3"/>
  <c r="S324" i="3" s="1"/>
  <c r="Q323" i="3"/>
  <c r="S323" i="3" s="1"/>
  <c r="Q322" i="3"/>
  <c r="S322" i="3" s="1"/>
  <c r="Q321" i="3"/>
  <c r="S321" i="3" s="1"/>
  <c r="Q320" i="3"/>
  <c r="S320" i="3" s="1"/>
  <c r="Q319" i="3"/>
  <c r="S319" i="3" s="1"/>
  <c r="S318" i="3"/>
  <c r="P318" i="3"/>
  <c r="Q316" i="3"/>
  <c r="S316" i="3" s="1"/>
  <c r="Q315" i="3"/>
  <c r="S315" i="3" s="1"/>
  <c r="Q313" i="3"/>
  <c r="S313" i="3" s="1"/>
  <c r="Q312" i="3"/>
  <c r="S312" i="3" s="1"/>
  <c r="U311" i="3"/>
  <c r="Q311" i="3"/>
  <c r="S311" i="3" s="1"/>
  <c r="U310" i="3"/>
  <c r="Q310" i="3"/>
  <c r="S310" i="3" s="1"/>
  <c r="U309" i="3"/>
  <c r="Q309" i="3"/>
  <c r="S309" i="3" s="1"/>
  <c r="Q308" i="3"/>
  <c r="S308" i="3" s="1"/>
  <c r="Q307" i="3"/>
  <c r="S307" i="3" s="1"/>
  <c r="Q306" i="3"/>
  <c r="S306" i="3" s="1"/>
  <c r="Q305" i="3"/>
  <c r="S305" i="3" s="1"/>
  <c r="Q304" i="3"/>
  <c r="S304" i="3" s="1"/>
  <c r="Q303" i="3"/>
  <c r="S303" i="3" s="1"/>
  <c r="Q302" i="3"/>
  <c r="S302" i="3" s="1"/>
  <c r="Q301" i="3"/>
  <c r="S301" i="3" s="1"/>
  <c r="Q300" i="3"/>
  <c r="S300" i="3" s="1"/>
  <c r="Q299" i="3"/>
  <c r="S299" i="3" s="1"/>
  <c r="Q298" i="3"/>
  <c r="S298" i="3" s="1"/>
  <c r="Q297" i="3"/>
  <c r="S297" i="3" s="1"/>
  <c r="Q296" i="3"/>
  <c r="S296" i="3" s="1"/>
  <c r="Q294" i="3"/>
  <c r="S294" i="3" s="1"/>
  <c r="Q293" i="3"/>
  <c r="S293" i="3" s="1"/>
  <c r="Q291" i="3"/>
  <c r="S291" i="3" s="1"/>
  <c r="U290" i="3"/>
  <c r="Q290" i="3"/>
  <c r="S290" i="3" s="1"/>
  <c r="U289" i="3"/>
  <c r="Q289" i="3"/>
  <c r="S289" i="3" s="1"/>
  <c r="U288" i="3"/>
  <c r="Q288" i="3"/>
  <c r="S288" i="3" s="1"/>
  <c r="Q287" i="3"/>
  <c r="S287" i="3" s="1"/>
  <c r="Q286" i="3"/>
  <c r="S286" i="3" s="1"/>
  <c r="Q285" i="3"/>
  <c r="S285" i="3" s="1"/>
  <c r="Q284" i="3"/>
  <c r="S284" i="3" s="1"/>
  <c r="Q283" i="3"/>
  <c r="S283" i="3" s="1"/>
  <c r="Q282" i="3"/>
  <c r="S282" i="3" s="1"/>
  <c r="Q281" i="3"/>
  <c r="S281" i="3" s="1"/>
  <c r="Q280" i="3"/>
  <c r="S280" i="3" s="1"/>
  <c r="Q279" i="3"/>
  <c r="S279" i="3" s="1"/>
  <c r="Q278" i="3"/>
  <c r="S278" i="3" s="1"/>
  <c r="Q277" i="3"/>
  <c r="S277" i="3" s="1"/>
  <c r="Q275" i="3"/>
  <c r="S275" i="3" s="1"/>
  <c r="Q273" i="3"/>
  <c r="S273" i="3" s="1"/>
  <c r="Q272" i="3"/>
  <c r="S272" i="3" s="1"/>
  <c r="U271" i="3"/>
  <c r="Q271" i="3"/>
  <c r="S271" i="3" s="1"/>
  <c r="U270" i="3"/>
  <c r="Q270" i="3"/>
  <c r="S270" i="3" s="1"/>
  <c r="Q269" i="3"/>
  <c r="S269" i="3" s="1"/>
  <c r="Q268" i="3"/>
  <c r="S268" i="3" s="1"/>
  <c r="Q267" i="3"/>
  <c r="S267" i="3" s="1"/>
  <c r="Q266" i="3"/>
  <c r="S266" i="3" s="1"/>
  <c r="Q265" i="3"/>
  <c r="S265" i="3" s="1"/>
  <c r="Q264" i="3"/>
  <c r="S264" i="3" s="1"/>
  <c r="Q263" i="3"/>
  <c r="S263" i="3" s="1"/>
  <c r="Q262" i="3"/>
  <c r="S262" i="3" s="1"/>
  <c r="Q261" i="3"/>
  <c r="S261" i="3" s="1"/>
  <c r="Q260" i="3"/>
  <c r="S260" i="3" s="1"/>
  <c r="Q259" i="3"/>
  <c r="S259" i="3" s="1"/>
  <c r="Q257" i="3"/>
  <c r="S257" i="3" s="1"/>
  <c r="Q255" i="3"/>
  <c r="S255" i="3" s="1"/>
  <c r="Q254" i="3"/>
  <c r="S254" i="3" s="1"/>
  <c r="U253" i="3"/>
  <c r="Q253" i="3"/>
  <c r="S253" i="3" s="1"/>
  <c r="U252" i="3"/>
  <c r="Q252" i="3"/>
  <c r="S252" i="3" s="1"/>
  <c r="U251" i="3"/>
  <c r="Q251" i="3"/>
  <c r="S251" i="3" s="1"/>
  <c r="Q250" i="3"/>
  <c r="S250" i="3" s="1"/>
  <c r="Q249" i="3"/>
  <c r="S249" i="3" s="1"/>
  <c r="Q248" i="3"/>
  <c r="S248" i="3" s="1"/>
  <c r="Q247" i="3"/>
  <c r="S247" i="3" s="1"/>
  <c r="Q246" i="3"/>
  <c r="S246" i="3" s="1"/>
  <c r="Q245" i="3"/>
  <c r="S245" i="3" s="1"/>
  <c r="Q244" i="3"/>
  <c r="S244" i="3" s="1"/>
  <c r="Q243" i="3"/>
  <c r="S243" i="3" s="1"/>
  <c r="Q242" i="3"/>
  <c r="S242" i="3" s="1"/>
  <c r="Q241" i="3"/>
  <c r="S241" i="3" s="1"/>
  <c r="Q240" i="3"/>
  <c r="S240" i="3" s="1"/>
  <c r="Q239" i="3"/>
  <c r="S239" i="3" s="1"/>
  <c r="Q236" i="3"/>
  <c r="S236" i="3" s="1"/>
  <c r="Q235" i="3"/>
  <c r="S235" i="3" s="1"/>
  <c r="Q234" i="3"/>
  <c r="S234" i="3" s="1"/>
  <c r="Q233" i="3"/>
  <c r="S233" i="3" s="1"/>
  <c r="U232" i="3"/>
  <c r="Q232" i="3"/>
  <c r="S232" i="3" s="1"/>
  <c r="U231" i="3"/>
  <c r="Q231" i="3"/>
  <c r="S231" i="3" s="1"/>
  <c r="Q230" i="3"/>
  <c r="S230" i="3" s="1"/>
  <c r="Q229" i="3"/>
  <c r="S229" i="3" s="1"/>
  <c r="Q228" i="3"/>
  <c r="S228" i="3" s="1"/>
  <c r="Q227" i="3"/>
  <c r="S227" i="3" s="1"/>
  <c r="Q226" i="3"/>
  <c r="S226" i="3" s="1"/>
  <c r="Q225" i="3"/>
  <c r="S225" i="3" s="1"/>
  <c r="Q224" i="3"/>
  <c r="S224" i="3" s="1"/>
  <c r="Q223" i="3"/>
  <c r="S223" i="3" s="1"/>
  <c r="Q222" i="3"/>
  <c r="S222" i="3" s="1"/>
  <c r="Q221" i="3"/>
  <c r="S221" i="3" s="1"/>
  <c r="Q220" i="3"/>
  <c r="S220" i="3" s="1"/>
  <c r="P219" i="3"/>
  <c r="Q219" i="3" s="1"/>
  <c r="S219" i="3" s="1"/>
  <c r="Q217" i="3"/>
  <c r="S217" i="3" s="1"/>
  <c r="Q215" i="3"/>
  <c r="S215" i="3" s="1"/>
  <c r="Q214" i="3"/>
  <c r="S214" i="3" s="1"/>
  <c r="U213" i="3"/>
  <c r="Q213" i="3"/>
  <c r="S213" i="3" s="1"/>
  <c r="U212" i="3"/>
  <c r="Q212" i="3"/>
  <c r="S212" i="3" s="1"/>
  <c r="Q211" i="3"/>
  <c r="S211" i="3" s="1"/>
  <c r="Q210" i="3"/>
  <c r="S210" i="3" s="1"/>
  <c r="Q209" i="3"/>
  <c r="S209" i="3" s="1"/>
  <c r="Q208" i="3"/>
  <c r="S208" i="3" s="1"/>
  <c r="Q207" i="3"/>
  <c r="S207" i="3" s="1"/>
  <c r="Q206" i="3"/>
  <c r="S206" i="3" s="1"/>
  <c r="Q205" i="3"/>
  <c r="S205" i="3" s="1"/>
  <c r="Q204" i="3"/>
  <c r="S204" i="3" s="1"/>
  <c r="Q203" i="3"/>
  <c r="S203" i="3" s="1"/>
  <c r="Q202" i="3"/>
  <c r="S202" i="3" s="1"/>
  <c r="Q200" i="3"/>
  <c r="S200" i="3" s="1"/>
  <c r="Q198" i="3"/>
  <c r="S198" i="3" s="1"/>
  <c r="Q197" i="3"/>
  <c r="S197" i="3" s="1"/>
  <c r="U196" i="3"/>
  <c r="Q196" i="3"/>
  <c r="S196" i="3" s="1"/>
  <c r="U195" i="3"/>
  <c r="Q195" i="3"/>
  <c r="S195" i="3" s="1"/>
  <c r="U194" i="3"/>
  <c r="Q194" i="3"/>
  <c r="S194" i="3" s="1"/>
  <c r="Q193" i="3"/>
  <c r="S193" i="3" s="1"/>
  <c r="Q192" i="3"/>
  <c r="S192" i="3" s="1"/>
  <c r="Q191" i="3"/>
  <c r="S191" i="3" s="1"/>
  <c r="S190" i="3"/>
  <c r="Q189" i="3"/>
  <c r="S189" i="3" s="1"/>
  <c r="Q188" i="3"/>
  <c r="S188" i="3" s="1"/>
  <c r="Q187" i="3"/>
  <c r="S187" i="3" s="1"/>
  <c r="Q186" i="3"/>
  <c r="S186" i="3" s="1"/>
  <c r="Q185" i="3"/>
  <c r="S185" i="3" s="1"/>
  <c r="Q184" i="3"/>
  <c r="S184" i="3" s="1"/>
  <c r="Q183" i="3"/>
  <c r="S183" i="3" s="1"/>
  <c r="Q182" i="3"/>
  <c r="S182" i="3" s="1"/>
  <c r="Q181" i="3"/>
  <c r="S181" i="3" s="1"/>
  <c r="P180" i="3"/>
  <c r="Q180" i="3" s="1"/>
  <c r="S180" i="3" s="1"/>
  <c r="S179" i="3"/>
  <c r="Q177" i="3"/>
  <c r="S177" i="3" s="1"/>
  <c r="Q176" i="3"/>
  <c r="S176" i="3" s="1"/>
  <c r="Q174" i="3"/>
  <c r="S174" i="3" s="1"/>
  <c r="Q173" i="3"/>
  <c r="S173" i="3" s="1"/>
  <c r="U172" i="3"/>
  <c r="Q172" i="3"/>
  <c r="S172" i="3" s="1"/>
  <c r="U171" i="3"/>
  <c r="Q171" i="3"/>
  <c r="S171" i="3" s="1"/>
  <c r="Q170" i="3"/>
  <c r="S170" i="3" s="1"/>
  <c r="Q169" i="3"/>
  <c r="S169" i="3" s="1"/>
  <c r="Q168" i="3"/>
  <c r="S168" i="3" s="1"/>
  <c r="Q167" i="3"/>
  <c r="S167" i="3" s="1"/>
  <c r="Q166" i="3"/>
  <c r="S166" i="3" s="1"/>
  <c r="Q165" i="3"/>
  <c r="S165" i="3" s="1"/>
  <c r="Q164" i="3"/>
  <c r="S164" i="3" s="1"/>
  <c r="Q163" i="3"/>
  <c r="S163" i="3" s="1"/>
  <c r="Q162" i="3"/>
  <c r="S162" i="3" s="1"/>
  <c r="Q161" i="3"/>
  <c r="S161" i="3" s="1"/>
  <c r="Q160" i="3"/>
  <c r="S160" i="3" s="1"/>
  <c r="Q158" i="3"/>
  <c r="S158" i="3" s="1"/>
  <c r="Q156" i="3"/>
  <c r="S156" i="3" s="1"/>
  <c r="Q155" i="3"/>
  <c r="S155" i="3" s="1"/>
  <c r="U154" i="3"/>
  <c r="Q154" i="3"/>
  <c r="S154" i="3" s="1"/>
  <c r="U153" i="3"/>
  <c r="Q153" i="3"/>
  <c r="S153" i="3" s="1"/>
  <c r="U152" i="3"/>
  <c r="Q152" i="3"/>
  <c r="S152" i="3" s="1"/>
  <c r="Q151" i="3"/>
  <c r="S151" i="3" s="1"/>
  <c r="Q150" i="3"/>
  <c r="S150" i="3" s="1"/>
  <c r="Q149" i="3"/>
  <c r="S149" i="3" s="1"/>
  <c r="Q148" i="3"/>
  <c r="S148" i="3" s="1"/>
  <c r="S147" i="3"/>
  <c r="Q146" i="3"/>
  <c r="S146" i="3" s="1"/>
  <c r="Q145" i="3"/>
  <c r="S145" i="3" s="1"/>
  <c r="Q144" i="3"/>
  <c r="S144" i="3" s="1"/>
  <c r="Q143" i="3"/>
  <c r="S143" i="3" s="1"/>
  <c r="S142" i="3"/>
  <c r="Q141" i="3"/>
  <c r="S141" i="3" s="1"/>
  <c r="Q140" i="3"/>
  <c r="S140" i="3" s="1"/>
  <c r="P139" i="3"/>
  <c r="Q139" i="3" s="1"/>
  <c r="S139" i="3" s="1"/>
  <c r="Q138" i="3"/>
  <c r="S138" i="3" s="1"/>
  <c r="Q137" i="3"/>
  <c r="S137" i="3" s="1"/>
  <c r="Q134" i="3"/>
  <c r="S134" i="3" s="1"/>
  <c r="Q133" i="3"/>
  <c r="S133" i="3" s="1"/>
  <c r="Q132" i="3"/>
  <c r="S132" i="3" s="1"/>
  <c r="U131" i="3"/>
  <c r="Q131" i="3"/>
  <c r="S131" i="3" s="1"/>
  <c r="U130" i="3"/>
  <c r="Q130" i="3"/>
  <c r="S130" i="3" s="1"/>
  <c r="U129" i="3"/>
  <c r="Q129" i="3"/>
  <c r="S129" i="3" s="1"/>
  <c r="Q128" i="3"/>
  <c r="S128" i="3" s="1"/>
  <c r="Q127" i="3"/>
  <c r="S127" i="3" s="1"/>
  <c r="Q126" i="3"/>
  <c r="S126" i="3" s="1"/>
  <c r="Q125" i="3"/>
  <c r="S125" i="3" s="1"/>
  <c r="S124" i="3"/>
  <c r="Q123" i="3"/>
  <c r="S123" i="3" s="1"/>
  <c r="Q122" i="3"/>
  <c r="S122" i="3" s="1"/>
  <c r="Q121" i="3"/>
  <c r="S121" i="3" s="1"/>
  <c r="Q120" i="3"/>
  <c r="S120" i="3" s="1"/>
  <c r="S119" i="3"/>
  <c r="Q118" i="3"/>
  <c r="S118" i="3" s="1"/>
  <c r="Q117" i="3"/>
  <c r="S117" i="3" s="1"/>
  <c r="Q115" i="3"/>
  <c r="S115" i="3" s="1"/>
  <c r="Q114" i="3"/>
  <c r="S114" i="3" s="1"/>
  <c r="Q112" i="3"/>
  <c r="S112" i="3" s="1"/>
  <c r="Q109" i="3"/>
  <c r="S109" i="3" s="1"/>
  <c r="Q108" i="3"/>
  <c r="S108" i="3" s="1"/>
  <c r="Q107" i="3"/>
  <c r="S107" i="3" s="1"/>
  <c r="Q106" i="3"/>
  <c r="S106" i="3" s="1"/>
  <c r="Q105" i="3"/>
  <c r="S105" i="3" s="1"/>
  <c r="Q104" i="3"/>
  <c r="S104" i="3" s="1"/>
  <c r="Q102" i="3"/>
  <c r="S102" i="3" s="1"/>
  <c r="Q100" i="3"/>
  <c r="S100" i="3" s="1"/>
  <c r="Q99" i="3"/>
  <c r="S99" i="3" s="1"/>
  <c r="Q98" i="3"/>
  <c r="S98" i="3" s="1"/>
  <c r="Q95" i="3"/>
  <c r="S95" i="3" s="1"/>
  <c r="Q94" i="3"/>
  <c r="S94" i="3" s="1"/>
  <c r="S93" i="3"/>
  <c r="S92" i="3"/>
  <c r="U89" i="3"/>
  <c r="Q89" i="3"/>
  <c r="S89" i="3" s="1"/>
  <c r="S88" i="3"/>
  <c r="S87" i="3"/>
  <c r="Q84" i="3"/>
  <c r="S84" i="3" s="1"/>
  <c r="S83" i="3"/>
  <c r="S82" i="3"/>
  <c r="Q79" i="3"/>
  <c r="S79" i="3" s="1"/>
  <c r="Q78" i="3"/>
  <c r="S78" i="3" s="1"/>
  <c r="Q77" i="3"/>
  <c r="S77" i="3" s="1"/>
  <c r="Q76" i="3"/>
  <c r="S76" i="3" s="1"/>
  <c r="Q67" i="3"/>
  <c r="S67" i="3" s="1"/>
  <c r="S66" i="3"/>
  <c r="Q65" i="3"/>
  <c r="S65" i="3" s="1"/>
  <c r="S64" i="3"/>
  <c r="Q63" i="3"/>
  <c r="S63" i="3" s="1"/>
  <c r="S62" i="3"/>
  <c r="Q61" i="3"/>
  <c r="S61" i="3" s="1"/>
  <c r="S60" i="3"/>
  <c r="Q59" i="3"/>
  <c r="S59" i="3" s="1"/>
  <c r="S58" i="3"/>
  <c r="S57" i="3"/>
  <c r="Q56" i="3"/>
  <c r="S56" i="3" s="1"/>
  <c r="Q55" i="3"/>
  <c r="S55" i="3" s="1"/>
  <c r="S54" i="3"/>
  <c r="Q53" i="3"/>
  <c r="S53" i="3" s="1"/>
  <c r="S52" i="3"/>
  <c r="Q51" i="3"/>
  <c r="S51" i="3" s="1"/>
  <c r="Q50" i="3"/>
  <c r="S50" i="3" s="1"/>
  <c r="Q49" i="3"/>
  <c r="S49" i="3" s="1"/>
  <c r="Q48" i="3"/>
  <c r="S48" i="3" s="1"/>
  <c r="Q47" i="3"/>
  <c r="S47" i="3" s="1"/>
  <c r="Q46" i="3"/>
  <c r="S46" i="3" s="1"/>
  <c r="Q45" i="3"/>
  <c r="S45" i="3" s="1"/>
  <c r="Q44" i="3"/>
  <c r="S44" i="3" s="1"/>
  <c r="Q43" i="3"/>
  <c r="S43" i="3" s="1"/>
  <c r="Q42" i="3"/>
  <c r="S42" i="3" s="1"/>
  <c r="Q41" i="3"/>
  <c r="S41" i="3" s="1"/>
  <c r="Q40" i="3"/>
  <c r="S40" i="3" s="1"/>
  <c r="S39" i="3"/>
  <c r="Q38" i="3"/>
  <c r="S38" i="3" s="1"/>
  <c r="Q37" i="3"/>
  <c r="S37" i="3" s="1"/>
  <c r="Q36" i="3"/>
  <c r="S36" i="3" s="1"/>
  <c r="Q35" i="3"/>
  <c r="S35" i="3" s="1"/>
  <c r="Q34" i="3"/>
  <c r="S34" i="3" s="1"/>
  <c r="Q33" i="3"/>
  <c r="S33" i="3" s="1"/>
  <c r="Q32" i="3"/>
  <c r="S32" i="3" s="1"/>
  <c r="Q31" i="3"/>
  <c r="S31" i="3" s="1"/>
  <c r="Q30" i="3"/>
  <c r="S30" i="3" s="1"/>
  <c r="Q29" i="3"/>
  <c r="S29" i="3" s="1"/>
  <c r="Q28" i="3"/>
  <c r="S28" i="3" s="1"/>
  <c r="Q27" i="3"/>
  <c r="S27" i="3" s="1"/>
  <c r="P26" i="3"/>
  <c r="Q26" i="3" s="1"/>
  <c r="S26" i="3" s="1"/>
  <c r="Q25" i="3"/>
  <c r="S25" i="3" s="1"/>
  <c r="Q24" i="3"/>
  <c r="S24" i="3" s="1"/>
  <c r="Q23" i="3"/>
  <c r="S23" i="3" s="1"/>
  <c r="P22" i="3"/>
  <c r="Q22" i="3" s="1"/>
  <c r="S22" i="3" s="1"/>
  <c r="Q21" i="3"/>
  <c r="S21" i="3" s="1"/>
  <c r="Q20" i="3"/>
  <c r="S20" i="3" s="1"/>
  <c r="Q19" i="3"/>
  <c r="S19" i="3" s="1"/>
  <c r="Q18" i="3"/>
  <c r="S18" i="3" s="1"/>
  <c r="Q17" i="3"/>
  <c r="S17" i="3" s="1"/>
  <c r="Q16" i="3"/>
  <c r="S16" i="3" s="1"/>
  <c r="Q15" i="3"/>
  <c r="S15" i="3" s="1"/>
  <c r="Q14" i="3"/>
  <c r="S14" i="3" s="1"/>
  <c r="Q13" i="3"/>
  <c r="S13" i="3" s="1"/>
  <c r="P12" i="3"/>
  <c r="Q12" i="3" s="1"/>
  <c r="S12" i="3" s="1"/>
  <c r="P11" i="3"/>
  <c r="Q11" i="3" s="1"/>
  <c r="S11" i="3" s="1"/>
  <c r="Q10" i="3"/>
  <c r="S10" i="3" s="1"/>
  <c r="Q9" i="3"/>
  <c r="S9" i="3" s="1"/>
  <c r="Q8" i="3"/>
  <c r="T5" i="3"/>
  <c r="R5" i="3"/>
  <c r="O5" i="3"/>
  <c r="N5" i="3"/>
  <c r="M5" i="3"/>
  <c r="L5" i="3"/>
  <c r="O239" i="1"/>
  <c r="Q239" i="1" s="1"/>
  <c r="O283" i="1"/>
  <c r="Q283" i="1" s="1"/>
  <c r="M283" i="1"/>
  <c r="O282" i="1"/>
  <c r="Q282" i="1" s="1"/>
  <c r="M282" i="1"/>
  <c r="Q281" i="1"/>
  <c r="M281" i="1"/>
  <c r="O280" i="1"/>
  <c r="Q280" i="1" s="1"/>
  <c r="M280" i="1"/>
  <c r="O279" i="1"/>
  <c r="Q279" i="1" s="1"/>
  <c r="M279" i="1"/>
  <c r="O278" i="1"/>
  <c r="Q278" i="1" s="1"/>
  <c r="M278" i="1"/>
  <c r="Q277" i="1"/>
  <c r="M277" i="1"/>
  <c r="O276" i="1"/>
  <c r="Q276" i="1" s="1"/>
  <c r="M276" i="1"/>
  <c r="O275" i="1"/>
  <c r="Q275" i="1" s="1"/>
  <c r="M275" i="1"/>
  <c r="O274" i="1"/>
  <c r="Q274" i="1" s="1"/>
  <c r="M274" i="1"/>
  <c r="O273" i="1"/>
  <c r="Q273" i="1" s="1"/>
  <c r="M273" i="1"/>
  <c r="O272" i="1"/>
  <c r="Q272" i="1" s="1"/>
  <c r="M272" i="1"/>
  <c r="O271" i="1"/>
  <c r="Q271" i="1" s="1"/>
  <c r="M271" i="1"/>
  <c r="O270" i="1"/>
  <c r="Q270" i="1" s="1"/>
  <c r="M270" i="1"/>
  <c r="O269" i="1"/>
  <c r="Q269" i="1" s="1"/>
  <c r="M269" i="1"/>
  <c r="O268" i="1"/>
  <c r="Q268" i="1" s="1"/>
  <c r="M268" i="1"/>
  <c r="O267" i="1"/>
  <c r="Q267" i="1" s="1"/>
  <c r="M267" i="1"/>
  <c r="O266" i="1"/>
  <c r="Q266" i="1" s="1"/>
  <c r="M266" i="1"/>
  <c r="O265" i="1"/>
  <c r="Q265" i="1" s="1"/>
  <c r="M265" i="1"/>
  <c r="O264" i="1"/>
  <c r="Q264" i="1" s="1"/>
  <c r="M264" i="1"/>
  <c r="O263" i="1"/>
  <c r="Q263" i="1" s="1"/>
  <c r="M263" i="1"/>
  <c r="Q262" i="1"/>
  <c r="M262" i="1"/>
  <c r="N262" i="1" s="1"/>
  <c r="S262" i="1" s="1"/>
  <c r="O261" i="1"/>
  <c r="Q261" i="1" s="1"/>
  <c r="M261" i="1"/>
  <c r="O260" i="1"/>
  <c r="Q260" i="1" s="1"/>
  <c r="M260" i="1"/>
  <c r="O259" i="1"/>
  <c r="Q259" i="1" s="1"/>
  <c r="M259" i="1"/>
  <c r="O258" i="1"/>
  <c r="Q258" i="1" s="1"/>
  <c r="M258" i="1"/>
  <c r="O257" i="1"/>
  <c r="Q257" i="1" s="1"/>
  <c r="M257" i="1"/>
  <c r="O256" i="1"/>
  <c r="Q256" i="1" s="1"/>
  <c r="M256" i="1"/>
  <c r="O255" i="1"/>
  <c r="Q255" i="1" s="1"/>
  <c r="M255" i="1"/>
  <c r="Q254" i="1"/>
  <c r="M254" i="1"/>
  <c r="Q253" i="1"/>
  <c r="M253" i="1"/>
  <c r="Q252" i="1"/>
  <c r="M252" i="1"/>
  <c r="Q251" i="1"/>
  <c r="M251" i="1"/>
  <c r="Q250" i="1"/>
  <c r="M250" i="1"/>
  <c r="Q249" i="1"/>
  <c r="M249" i="1"/>
  <c r="Q248" i="1"/>
  <c r="M248" i="1"/>
  <c r="O247" i="1"/>
  <c r="Q247" i="1" s="1"/>
  <c r="M247" i="1"/>
  <c r="O246" i="1"/>
  <c r="Q246" i="1" s="1"/>
  <c r="M246" i="1"/>
  <c r="O245" i="1"/>
  <c r="Q245" i="1" s="1"/>
  <c r="M245" i="1"/>
  <c r="O244" i="1"/>
  <c r="Q244" i="1" s="1"/>
  <c r="M244" i="1"/>
  <c r="O243" i="1"/>
  <c r="Q243" i="1" s="1"/>
  <c r="M243" i="1"/>
  <c r="O242" i="1"/>
  <c r="Q242" i="1" s="1"/>
  <c r="M242" i="1"/>
  <c r="O241" i="1"/>
  <c r="Q241" i="1" s="1"/>
  <c r="M241" i="1"/>
  <c r="O240" i="1"/>
  <c r="Q240" i="1" s="1"/>
  <c r="M240" i="1"/>
  <c r="M239" i="1"/>
  <c r="O238" i="1"/>
  <c r="Q238" i="1" s="1"/>
  <c r="M238" i="1"/>
  <c r="O237" i="1"/>
  <c r="Q237" i="1" s="1"/>
  <c r="M237" i="1"/>
  <c r="O236" i="1"/>
  <c r="Q236" i="1" s="1"/>
  <c r="M236" i="1"/>
  <c r="O235" i="1"/>
  <c r="Q235" i="1" s="1"/>
  <c r="M235" i="1"/>
  <c r="O234" i="1"/>
  <c r="Q234" i="1" s="1"/>
  <c r="M234" i="1"/>
  <c r="O233" i="1"/>
  <c r="Q233" i="1" s="1"/>
  <c r="M233" i="1"/>
  <c r="O232" i="1"/>
  <c r="Q232" i="1" s="1"/>
  <c r="M232" i="1"/>
  <c r="O231" i="1"/>
  <c r="Q231" i="1" s="1"/>
  <c r="M231" i="1"/>
  <c r="O230" i="1"/>
  <c r="Q230" i="1" s="1"/>
  <c r="M230" i="1"/>
  <c r="O229" i="1"/>
  <c r="Q229" i="1" s="1"/>
  <c r="M229" i="1"/>
  <c r="O228" i="1"/>
  <c r="Q228" i="1" s="1"/>
  <c r="M228" i="1"/>
  <c r="O227" i="1"/>
  <c r="Q227" i="1" s="1"/>
  <c r="M227" i="1"/>
  <c r="S227" i="1" s="1"/>
  <c r="O226" i="1"/>
  <c r="Q226" i="1" s="1"/>
  <c r="M226" i="1"/>
  <c r="O225" i="1"/>
  <c r="Q225" i="1" s="1"/>
  <c r="M225" i="1"/>
  <c r="O224" i="1"/>
  <c r="Q224" i="1" s="1"/>
  <c r="M224" i="1"/>
  <c r="O223" i="1"/>
  <c r="Q223" i="1" s="1"/>
  <c r="M223" i="1"/>
  <c r="O222" i="1"/>
  <c r="Q222" i="1" s="1"/>
  <c r="M222" i="1"/>
  <c r="O221" i="1"/>
  <c r="Q221" i="1" s="1"/>
  <c r="M221" i="1"/>
  <c r="O220" i="1"/>
  <c r="Q220" i="1" s="1"/>
  <c r="M220" i="1"/>
  <c r="Q219" i="1"/>
  <c r="M219" i="1"/>
  <c r="O218" i="1"/>
  <c r="Q218" i="1" s="1"/>
  <c r="M218" i="1"/>
  <c r="S218" i="1" s="1"/>
  <c r="O217" i="1"/>
  <c r="Q217" i="1" s="1"/>
  <c r="M217" i="1"/>
  <c r="O216" i="1"/>
  <c r="Q216" i="1" s="1"/>
  <c r="M216" i="1"/>
  <c r="O215" i="1"/>
  <c r="Q215" i="1" s="1"/>
  <c r="M215" i="1"/>
  <c r="O214" i="1"/>
  <c r="Q214" i="1" s="1"/>
  <c r="M214" i="1"/>
  <c r="O213" i="1"/>
  <c r="Q213" i="1" s="1"/>
  <c r="M213" i="1"/>
  <c r="O212" i="1"/>
  <c r="Q212" i="1" s="1"/>
  <c r="M212" i="1"/>
  <c r="N211" i="1"/>
  <c r="O211" i="1" s="1"/>
  <c r="Q211" i="1" s="1"/>
  <c r="M211" i="1"/>
  <c r="O210" i="1"/>
  <c r="Q210" i="1" s="1"/>
  <c r="M210" i="1"/>
  <c r="O209" i="1"/>
  <c r="Q209" i="1" s="1"/>
  <c r="M209" i="1"/>
  <c r="O208" i="1"/>
  <c r="Q208" i="1" s="1"/>
  <c r="M208" i="1"/>
  <c r="O207" i="1"/>
  <c r="Q207" i="1" s="1"/>
  <c r="M207" i="1"/>
  <c r="Q206" i="1"/>
  <c r="M206" i="1"/>
  <c r="O205" i="1"/>
  <c r="Q205" i="1" s="1"/>
  <c r="M205" i="1"/>
  <c r="S206" i="1" s="1"/>
  <c r="O204" i="1"/>
  <c r="Q204" i="1" s="1"/>
  <c r="M204" i="1"/>
  <c r="O203" i="1"/>
  <c r="M203" i="1"/>
  <c r="Q202" i="1"/>
  <c r="M202" i="1"/>
  <c r="Q201" i="1"/>
  <c r="M201" i="1"/>
  <c r="O200" i="1"/>
  <c r="Q200" i="1" s="1"/>
  <c r="M200" i="1"/>
  <c r="O199" i="1"/>
  <c r="Q199" i="1" s="1"/>
  <c r="M199" i="1"/>
  <c r="S199" i="1" s="1"/>
  <c r="Q198" i="1"/>
  <c r="M198" i="1"/>
  <c r="O197" i="1"/>
  <c r="Q197" i="1" s="1"/>
  <c r="M197" i="1"/>
  <c r="Q196" i="1"/>
  <c r="M196" i="1"/>
  <c r="O195" i="1"/>
  <c r="Q195" i="1" s="1"/>
  <c r="M195" i="1"/>
  <c r="O194" i="1"/>
  <c r="Q194" i="1" s="1"/>
  <c r="M194" i="1"/>
  <c r="Q193" i="1"/>
  <c r="M193" i="1"/>
  <c r="M192" i="1"/>
  <c r="O191" i="1"/>
  <c r="Q191" i="1" s="1"/>
  <c r="M191" i="1"/>
  <c r="M190" i="1"/>
  <c r="O189" i="1"/>
  <c r="Q189" i="1" s="1"/>
  <c r="M189" i="1"/>
  <c r="O188" i="1"/>
  <c r="Q188" i="1" s="1"/>
  <c r="M188" i="1"/>
  <c r="O187" i="1"/>
  <c r="Q187" i="1" s="1"/>
  <c r="M187" i="1"/>
  <c r="S187" i="1" s="1"/>
  <c r="O186" i="1"/>
  <c r="Q186" i="1" s="1"/>
  <c r="M186" i="1"/>
  <c r="O185" i="1"/>
  <c r="Q185" i="1" s="1"/>
  <c r="M185" i="1"/>
  <c r="O184" i="1"/>
  <c r="Q184" i="1" s="1"/>
  <c r="M184" i="1"/>
  <c r="O183" i="1"/>
  <c r="Q183" i="1" s="1"/>
  <c r="M183" i="1"/>
  <c r="O182" i="1"/>
  <c r="Q182" i="1" s="1"/>
  <c r="M182" i="1"/>
  <c r="O181" i="1"/>
  <c r="Q181" i="1" s="1"/>
  <c r="M181" i="1"/>
  <c r="O180" i="1"/>
  <c r="Q180" i="1" s="1"/>
  <c r="M180" i="1"/>
  <c r="Q179" i="1"/>
  <c r="M179" i="1"/>
  <c r="O178" i="1"/>
  <c r="Q178" i="1" s="1"/>
  <c r="M178" i="1"/>
  <c r="O177" i="1"/>
  <c r="Q177" i="1" s="1"/>
  <c r="M177" i="1"/>
  <c r="O176" i="1"/>
  <c r="Q176" i="1" s="1"/>
  <c r="M176" i="1"/>
  <c r="S176" i="1" s="1"/>
  <c r="O175" i="1"/>
  <c r="Q175" i="1" s="1"/>
  <c r="M175" i="1"/>
  <c r="O174" i="1"/>
  <c r="Q174" i="1" s="1"/>
  <c r="M174" i="1"/>
  <c r="O173" i="1"/>
  <c r="Q173" i="1" s="1"/>
  <c r="M173" i="1"/>
  <c r="O172" i="1"/>
  <c r="Q172" i="1" s="1"/>
  <c r="M172" i="1"/>
  <c r="O171" i="1"/>
  <c r="Q171" i="1" s="1"/>
  <c r="M171" i="1"/>
  <c r="O170" i="1"/>
  <c r="Q170" i="1" s="1"/>
  <c r="M170" i="1"/>
  <c r="O169" i="1"/>
  <c r="Q169" i="1" s="1"/>
  <c r="M169" i="1"/>
  <c r="O168" i="1"/>
  <c r="Q168" i="1" s="1"/>
  <c r="M168" i="1"/>
  <c r="O167" i="1"/>
  <c r="Q167" i="1" s="1"/>
  <c r="M167" i="1"/>
  <c r="O166" i="1"/>
  <c r="Q166" i="1" s="1"/>
  <c r="M166" i="1"/>
  <c r="O165" i="1"/>
  <c r="Q165" i="1" s="1"/>
  <c r="M165" i="1"/>
  <c r="S165" i="1" s="1"/>
  <c r="O164" i="1"/>
  <c r="Q164" i="1" s="1"/>
  <c r="M164" i="1"/>
  <c r="O163" i="1"/>
  <c r="Q163" i="1" s="1"/>
  <c r="M163" i="1"/>
  <c r="O162" i="1"/>
  <c r="Q162" i="1" s="1"/>
  <c r="M162" i="1"/>
  <c r="O161" i="1"/>
  <c r="Q161" i="1" s="1"/>
  <c r="M161" i="1"/>
  <c r="O160" i="1"/>
  <c r="Q160" i="1" s="1"/>
  <c r="M160" i="1"/>
  <c r="O159" i="1"/>
  <c r="Q159" i="1" s="1"/>
  <c r="M159" i="1"/>
  <c r="O158" i="1"/>
  <c r="Q158" i="1" s="1"/>
  <c r="M158" i="1"/>
  <c r="O157" i="1"/>
  <c r="Q157" i="1" s="1"/>
  <c r="M157" i="1"/>
  <c r="O156" i="1"/>
  <c r="Q156" i="1" s="1"/>
  <c r="M156" i="1"/>
  <c r="O155" i="1"/>
  <c r="Q155" i="1" s="1"/>
  <c r="M155" i="1"/>
  <c r="S155" i="1" s="1"/>
  <c r="O154" i="1"/>
  <c r="Q154" i="1" s="1"/>
  <c r="M154" i="1"/>
  <c r="O153" i="1"/>
  <c r="Q153" i="1" s="1"/>
  <c r="M153" i="1"/>
  <c r="O152" i="1"/>
  <c r="Q152" i="1" s="1"/>
  <c r="M152" i="1"/>
  <c r="O151" i="1"/>
  <c r="Q151" i="1" s="1"/>
  <c r="M151" i="1"/>
  <c r="O150" i="1"/>
  <c r="Q150" i="1" s="1"/>
  <c r="M150" i="1"/>
  <c r="O149" i="1"/>
  <c r="Q149" i="1" s="1"/>
  <c r="M149" i="1"/>
  <c r="O148" i="1"/>
  <c r="Q148" i="1" s="1"/>
  <c r="M148" i="1"/>
  <c r="O147" i="1"/>
  <c r="Q147" i="1" s="1"/>
  <c r="M147" i="1"/>
  <c r="O146" i="1"/>
  <c r="Q146" i="1" s="1"/>
  <c r="M146" i="1"/>
  <c r="O145" i="1"/>
  <c r="Q145" i="1" s="1"/>
  <c r="M145" i="1"/>
  <c r="O144" i="1"/>
  <c r="Q144" i="1" s="1"/>
  <c r="M144" i="1"/>
  <c r="S144" i="1" s="1"/>
  <c r="O143" i="1"/>
  <c r="Q143" i="1" s="1"/>
  <c r="M143" i="1"/>
  <c r="O142" i="1"/>
  <c r="Q142" i="1" s="1"/>
  <c r="M142" i="1"/>
  <c r="O141" i="1"/>
  <c r="Q141" i="1" s="1"/>
  <c r="M141" i="1"/>
  <c r="O140" i="1"/>
  <c r="Q140" i="1" s="1"/>
  <c r="M140" i="1"/>
  <c r="O139" i="1"/>
  <c r="Q139" i="1" s="1"/>
  <c r="M139" i="1"/>
  <c r="O138" i="1"/>
  <c r="Q138" i="1" s="1"/>
  <c r="M138" i="1"/>
  <c r="O137" i="1"/>
  <c r="Q137" i="1" s="1"/>
  <c r="M137" i="1"/>
  <c r="O136" i="1"/>
  <c r="Q136" i="1" s="1"/>
  <c r="M136" i="1"/>
  <c r="O135" i="1"/>
  <c r="Q135" i="1" s="1"/>
  <c r="M135" i="1"/>
  <c r="O134" i="1"/>
  <c r="Q134" i="1" s="1"/>
  <c r="M134" i="1"/>
  <c r="O133" i="1"/>
  <c r="Q133" i="1" s="1"/>
  <c r="M133" i="1"/>
  <c r="S133" i="1" s="1"/>
  <c r="O132" i="1"/>
  <c r="Q132" i="1" s="1"/>
  <c r="M132" i="1"/>
  <c r="O131" i="1"/>
  <c r="Q131" i="1" s="1"/>
  <c r="M131" i="1"/>
  <c r="O130" i="1"/>
  <c r="Q130" i="1" s="1"/>
  <c r="M130" i="1"/>
  <c r="O129" i="1"/>
  <c r="Q129" i="1" s="1"/>
  <c r="M129" i="1"/>
  <c r="O128" i="1"/>
  <c r="Q128" i="1" s="1"/>
  <c r="M128" i="1"/>
  <c r="O127" i="1"/>
  <c r="Q127" i="1" s="1"/>
  <c r="M127" i="1"/>
  <c r="O126" i="1"/>
  <c r="Q126" i="1" s="1"/>
  <c r="M126" i="1"/>
  <c r="O125" i="1"/>
  <c r="Q125" i="1" s="1"/>
  <c r="M125" i="1"/>
  <c r="O124" i="1"/>
  <c r="Q124" i="1" s="1"/>
  <c r="M124" i="1"/>
  <c r="O123" i="1"/>
  <c r="Q123" i="1" s="1"/>
  <c r="M123" i="1"/>
  <c r="O122" i="1"/>
  <c r="Q122" i="1" s="1"/>
  <c r="M122" i="1"/>
  <c r="S122" i="1" s="1"/>
  <c r="O121" i="1"/>
  <c r="Q121" i="1" s="1"/>
  <c r="M121" i="1"/>
  <c r="O120" i="1"/>
  <c r="Q120" i="1" s="1"/>
  <c r="M120" i="1"/>
  <c r="O119" i="1"/>
  <c r="Q119" i="1" s="1"/>
  <c r="M119" i="1"/>
  <c r="O118" i="1"/>
  <c r="Q118" i="1" s="1"/>
  <c r="M118" i="1"/>
  <c r="O117" i="1"/>
  <c r="Q117" i="1" s="1"/>
  <c r="M117" i="1"/>
  <c r="O116" i="1"/>
  <c r="Q116" i="1" s="1"/>
  <c r="M116" i="1"/>
  <c r="O115" i="1"/>
  <c r="Q115" i="1" s="1"/>
  <c r="M115" i="1"/>
  <c r="Q114" i="1"/>
  <c r="M114" i="1"/>
  <c r="O113" i="1"/>
  <c r="Q113" i="1" s="1"/>
  <c r="M113" i="1"/>
  <c r="O112" i="1"/>
  <c r="Q112" i="1" s="1"/>
  <c r="M112" i="1"/>
  <c r="O111" i="1"/>
  <c r="Q111" i="1" s="1"/>
  <c r="M111" i="1"/>
  <c r="S111" i="1" s="1"/>
  <c r="O110" i="1"/>
  <c r="Q110" i="1" s="1"/>
  <c r="M110" i="1"/>
  <c r="O109" i="1"/>
  <c r="Q109" i="1" s="1"/>
  <c r="M109" i="1"/>
  <c r="O108" i="1"/>
  <c r="Q108" i="1" s="1"/>
  <c r="M108" i="1"/>
  <c r="O107" i="1"/>
  <c r="Q107" i="1" s="1"/>
  <c r="M107" i="1"/>
  <c r="O106" i="1"/>
  <c r="Q106" i="1" s="1"/>
  <c r="M106" i="1"/>
  <c r="O105" i="1"/>
  <c r="Q105" i="1" s="1"/>
  <c r="M105" i="1"/>
  <c r="O104" i="1"/>
  <c r="Q104" i="1" s="1"/>
  <c r="M104" i="1"/>
  <c r="O103" i="1"/>
  <c r="Q103" i="1" s="1"/>
  <c r="M103" i="1"/>
  <c r="O102" i="1"/>
  <c r="Q102" i="1" s="1"/>
  <c r="M102" i="1"/>
  <c r="O101" i="1"/>
  <c r="Q101" i="1" s="1"/>
  <c r="M101" i="1"/>
  <c r="S101" i="1" s="1"/>
  <c r="O100" i="1"/>
  <c r="Q100" i="1" s="1"/>
  <c r="M100" i="1"/>
  <c r="O99" i="1"/>
  <c r="Q99" i="1" s="1"/>
  <c r="M99" i="1"/>
  <c r="O98" i="1"/>
  <c r="Q98" i="1" s="1"/>
  <c r="M98" i="1"/>
  <c r="O97" i="1"/>
  <c r="Q97" i="1" s="1"/>
  <c r="M97" i="1"/>
  <c r="O96" i="1"/>
  <c r="Q96" i="1" s="1"/>
  <c r="M96" i="1"/>
  <c r="O95" i="1"/>
  <c r="Q95" i="1" s="1"/>
  <c r="M95" i="1"/>
  <c r="O94" i="1"/>
  <c r="Q94" i="1" s="1"/>
  <c r="M94" i="1"/>
  <c r="O93" i="1"/>
  <c r="Q93" i="1" s="1"/>
  <c r="M93" i="1"/>
  <c r="O92" i="1"/>
  <c r="Q92" i="1" s="1"/>
  <c r="M92" i="1"/>
  <c r="O91" i="1"/>
  <c r="Q91" i="1" s="1"/>
  <c r="M91" i="1"/>
  <c r="O90" i="1"/>
  <c r="Q90" i="1" s="1"/>
  <c r="M90" i="1"/>
  <c r="S90" i="1" s="1"/>
  <c r="O89" i="1"/>
  <c r="Q89" i="1" s="1"/>
  <c r="M89" i="1"/>
  <c r="O88" i="1"/>
  <c r="Q88" i="1" s="1"/>
  <c r="M88" i="1"/>
  <c r="O87" i="1"/>
  <c r="Q87" i="1" s="1"/>
  <c r="M87" i="1"/>
  <c r="O86" i="1"/>
  <c r="Q86" i="1" s="1"/>
  <c r="M86" i="1"/>
  <c r="O85" i="1"/>
  <c r="Q85" i="1" s="1"/>
  <c r="M85" i="1"/>
  <c r="O84" i="1"/>
  <c r="Q84" i="1" s="1"/>
  <c r="M84" i="1"/>
  <c r="O83" i="1"/>
  <c r="Q83" i="1" s="1"/>
  <c r="M83" i="1"/>
  <c r="O82" i="1"/>
  <c r="Q82" i="1" s="1"/>
  <c r="M82" i="1"/>
  <c r="O81" i="1"/>
  <c r="Q81" i="1" s="1"/>
  <c r="M81" i="1"/>
  <c r="O80" i="1"/>
  <c r="Q80" i="1" s="1"/>
  <c r="M80" i="1"/>
  <c r="S80" i="1" s="1"/>
  <c r="O79" i="1"/>
  <c r="Q79" i="1" s="1"/>
  <c r="M79" i="1"/>
  <c r="O78" i="1"/>
  <c r="Q78" i="1" s="1"/>
  <c r="M78" i="1"/>
  <c r="O77" i="1"/>
  <c r="Q77" i="1" s="1"/>
  <c r="M77" i="1"/>
  <c r="O76" i="1"/>
  <c r="Q76" i="1" s="1"/>
  <c r="M76" i="1"/>
  <c r="O75" i="1"/>
  <c r="Q75" i="1" s="1"/>
  <c r="M75" i="1"/>
  <c r="O74" i="1"/>
  <c r="Q74" i="1" s="1"/>
  <c r="M74" i="1"/>
  <c r="O73" i="1"/>
  <c r="Q73" i="1" s="1"/>
  <c r="M73" i="1"/>
  <c r="M72" i="1"/>
  <c r="O71" i="1"/>
  <c r="Q71" i="1" s="1"/>
  <c r="M71" i="1"/>
  <c r="O70" i="1"/>
  <c r="Q70" i="1" s="1"/>
  <c r="M70" i="1"/>
  <c r="O69" i="1"/>
  <c r="Q69" i="1" s="1"/>
  <c r="M69" i="1"/>
  <c r="O68" i="1"/>
  <c r="Q68" i="1" s="1"/>
  <c r="M68" i="1"/>
  <c r="S68" i="1" s="1"/>
  <c r="O67" i="1"/>
  <c r="Q67" i="1" s="1"/>
  <c r="M67" i="1"/>
  <c r="O66" i="1"/>
  <c r="Q66" i="1" s="1"/>
  <c r="M66" i="1"/>
  <c r="O65" i="1"/>
  <c r="Q65" i="1" s="1"/>
  <c r="M65" i="1"/>
  <c r="O64" i="1"/>
  <c r="Q64" i="1" s="1"/>
  <c r="M64" i="1"/>
  <c r="O63" i="1"/>
  <c r="Q63" i="1" s="1"/>
  <c r="M63" i="1"/>
  <c r="O62" i="1"/>
  <c r="Q62" i="1" s="1"/>
  <c r="M62" i="1"/>
  <c r="O61" i="1"/>
  <c r="Q61" i="1" s="1"/>
  <c r="M61" i="1"/>
  <c r="O60" i="1"/>
  <c r="Q60" i="1" s="1"/>
  <c r="M60" i="1"/>
  <c r="O59" i="1"/>
  <c r="Q59" i="1" s="1"/>
  <c r="M59" i="1"/>
  <c r="O58" i="1"/>
  <c r="Q58" i="1" s="1"/>
  <c r="M58" i="1"/>
  <c r="O57" i="1"/>
  <c r="Q57" i="1" s="1"/>
  <c r="M57" i="1"/>
  <c r="O56" i="1"/>
  <c r="Q56" i="1" s="1"/>
  <c r="M56" i="1"/>
  <c r="O55" i="1"/>
  <c r="Q55" i="1" s="1"/>
  <c r="M55" i="1"/>
  <c r="O54" i="1"/>
  <c r="Q54" i="1" s="1"/>
  <c r="M54" i="1"/>
  <c r="O53" i="1"/>
  <c r="Q53" i="1" s="1"/>
  <c r="M53" i="1"/>
  <c r="O52" i="1"/>
  <c r="Q52" i="1" s="1"/>
  <c r="M52" i="1"/>
  <c r="O51" i="1"/>
  <c r="Q51" i="1" s="1"/>
  <c r="M51" i="1"/>
  <c r="M50" i="1"/>
  <c r="O49" i="1"/>
  <c r="Q49" i="1" s="1"/>
  <c r="M49" i="1"/>
  <c r="S49" i="1" s="1"/>
  <c r="O48" i="1"/>
  <c r="Q48" i="1" s="1"/>
  <c r="M48" i="1"/>
  <c r="O47" i="1"/>
  <c r="Q47" i="1" s="1"/>
  <c r="M47" i="1"/>
  <c r="O46" i="1"/>
  <c r="Q46" i="1" s="1"/>
  <c r="M46" i="1"/>
  <c r="O45" i="1"/>
  <c r="Q45" i="1" s="1"/>
  <c r="M45" i="1"/>
  <c r="S45" i="1" s="1"/>
  <c r="O44" i="1"/>
  <c r="Q44" i="1" s="1"/>
  <c r="M44" i="1"/>
  <c r="O43" i="1"/>
  <c r="Q43" i="1" s="1"/>
  <c r="M43" i="1"/>
  <c r="M42" i="1"/>
  <c r="Q38" i="1"/>
  <c r="M38" i="1"/>
  <c r="Q37" i="1"/>
  <c r="M37" i="1"/>
  <c r="Q36" i="1"/>
  <c r="M36" i="1"/>
  <c r="Q35" i="1"/>
  <c r="M35" i="1"/>
  <c r="Q34" i="1"/>
  <c r="M34" i="1"/>
  <c r="Q33" i="1"/>
  <c r="M33" i="1"/>
  <c r="Q32" i="1"/>
  <c r="M32" i="1"/>
  <c r="Q31" i="1"/>
  <c r="M31" i="1"/>
  <c r="O30" i="1"/>
  <c r="Q30" i="1" s="1"/>
  <c r="M30" i="1"/>
  <c r="O29" i="1"/>
  <c r="Q29" i="1" s="1"/>
  <c r="M29" i="1"/>
  <c r="O28" i="1"/>
  <c r="Q28" i="1" s="1"/>
  <c r="M28" i="1"/>
  <c r="O27" i="1"/>
  <c r="Q27" i="1" s="1"/>
  <c r="M27" i="1"/>
  <c r="O26" i="1"/>
  <c r="Q26" i="1" s="1"/>
  <c r="M26" i="1"/>
  <c r="O25" i="1"/>
  <c r="Q25" i="1" s="1"/>
  <c r="M25" i="1"/>
  <c r="S25" i="1" s="1"/>
  <c r="O24" i="1"/>
  <c r="Q24" i="1" s="1"/>
  <c r="M24" i="1"/>
  <c r="O23" i="1"/>
  <c r="Q23" i="1" s="1"/>
  <c r="M23" i="1"/>
  <c r="O22" i="1"/>
  <c r="Q22" i="1" s="1"/>
  <c r="M22" i="1"/>
  <c r="O21" i="1"/>
  <c r="Q21" i="1" s="1"/>
  <c r="M21" i="1"/>
  <c r="Q20" i="1"/>
  <c r="M20" i="1"/>
  <c r="O19" i="1"/>
  <c r="Q19" i="1" s="1"/>
  <c r="M19" i="1"/>
  <c r="O18" i="1"/>
  <c r="Q18" i="1" s="1"/>
  <c r="M18" i="1"/>
  <c r="O17" i="1"/>
  <c r="Q17" i="1" s="1"/>
  <c r="M17" i="1"/>
  <c r="O16" i="1"/>
  <c r="Q16" i="1" s="1"/>
  <c r="M16" i="1"/>
  <c r="O15" i="1"/>
  <c r="Q15" i="1" s="1"/>
  <c r="M15" i="1"/>
  <c r="Q14" i="1"/>
  <c r="M14" i="1"/>
  <c r="O13" i="1"/>
  <c r="M13" i="1"/>
  <c r="O12" i="1"/>
  <c r="Q12" i="1" s="1"/>
  <c r="M12" i="1"/>
  <c r="O11" i="1"/>
  <c r="Q11" i="1" s="1"/>
  <c r="M11" i="1"/>
  <c r="O10" i="1"/>
  <c r="Q10" i="1" s="1"/>
  <c r="M10" i="1"/>
  <c r="O9" i="1"/>
  <c r="Q9" i="1" s="1"/>
  <c r="M9" i="1"/>
  <c r="R5" i="1"/>
  <c r="P5" i="1"/>
  <c r="L5" i="1"/>
  <c r="K5" i="1"/>
  <c r="J5" i="1"/>
  <c r="G54" i="7"/>
  <c r="Q6" i="8"/>
  <c r="Q110" i="8"/>
  <c r="S110" i="8"/>
  <c r="S6" i="8"/>
  <c r="Q198" i="8"/>
  <c r="S198" i="8"/>
  <c r="Q213" i="8"/>
  <c r="S213" i="8"/>
  <c r="Q526" i="8"/>
  <c r="S526" i="8"/>
  <c r="N50" i="1" l="1"/>
  <c r="N72" i="1"/>
  <c r="O72" i="1" s="1"/>
  <c r="Q72" i="1" s="1"/>
  <c r="Q532" i="3"/>
  <c r="S532" i="3" s="1"/>
  <c r="Q524" i="3"/>
  <c r="S524" i="3" s="1"/>
  <c r="Q529" i="3"/>
  <c r="S529" i="3" s="1"/>
  <c r="Q530" i="3"/>
  <c r="S530" i="3" s="1"/>
  <c r="Q521" i="3"/>
  <c r="S521" i="3" s="1"/>
  <c r="Q216" i="3"/>
  <c r="S216" i="3" s="1"/>
  <c r="Q218" i="3"/>
  <c r="S218" i="3" s="1"/>
  <c r="S8" i="3"/>
  <c r="S382" i="3"/>
  <c r="Q383" i="3"/>
  <c r="S383" i="3" s="1"/>
  <c r="Q203" i="1"/>
  <c r="S68" i="3"/>
  <c r="Q340" i="3"/>
  <c r="S340" i="3" s="1"/>
  <c r="S450" i="3"/>
  <c r="Q113" i="3"/>
  <c r="S113" i="3" s="1"/>
  <c r="Q116" i="3"/>
  <c r="S116" i="3" s="1"/>
  <c r="S135" i="3"/>
  <c r="Q85" i="3"/>
  <c r="S85" i="3" s="1"/>
  <c r="Q81" i="3"/>
  <c r="S81" i="3" s="1"/>
  <c r="Q136" i="3"/>
  <c r="S136" i="3" s="1"/>
  <c r="Q201" i="3"/>
  <c r="S201" i="3" s="1"/>
  <c r="I54" i="7"/>
  <c r="U5" i="3"/>
  <c r="Q436" i="3"/>
  <c r="S436" i="3" s="1"/>
  <c r="Q337" i="3"/>
  <c r="S337" i="3" s="1"/>
  <c r="Q276" i="3"/>
  <c r="S276" i="3" s="1"/>
  <c r="Q175" i="3"/>
  <c r="S175" i="3" s="1"/>
  <c r="Q361" i="3"/>
  <c r="S361" i="3" s="1"/>
  <c r="Q295" i="3"/>
  <c r="S295" i="3" s="1"/>
  <c r="Q157" i="3"/>
  <c r="S157" i="3" s="1"/>
  <c r="Q258" i="3"/>
  <c r="S258" i="3" s="1"/>
  <c r="P5" i="3"/>
  <c r="S5" i="1"/>
  <c r="M5" i="1"/>
  <c r="Q13" i="1"/>
  <c r="Q5" i="3" l="1"/>
  <c r="S5" i="3"/>
  <c r="O50" i="1"/>
  <c r="Q50" i="1" l="1"/>
  <c r="N5" i="1" l="1"/>
  <c r="Q192" i="1"/>
  <c r="Q5" i="1" s="1"/>
  <c r="O5" i="1"/>
</calcChain>
</file>

<file path=xl/sharedStrings.xml><?xml version="1.0" encoding="utf-8"?>
<sst xmlns="http://schemas.openxmlformats.org/spreadsheetml/2006/main" count="20190" uniqueCount="317">
  <si>
    <t>Lisa 1</t>
  </si>
  <si>
    <t>…....................ministri käskkirja</t>
  </si>
  <si>
    <r>
      <t xml:space="preserve">2023. aasta riigieelarve piirmääraga vahendite (liik 20) kasutamata eelarve ülekandmine ja reservi tagastamine </t>
    </r>
    <r>
      <rPr>
        <sz val="12"/>
        <color theme="1"/>
        <rFont val="Times New Roman"/>
        <family val="1"/>
        <charset val="186"/>
      </rPr>
      <t>(eurodes)</t>
    </r>
  </si>
  <si>
    <t>Tegevuspõhise eelarve korral</t>
  </si>
  <si>
    <t>Tervikliku ülevaate saamiseks sisaldab vorm infot jääkide kohta, mida üle ei viida.</t>
  </si>
  <si>
    <t>2023. aasta riigieelarve jäägid</t>
  </si>
  <si>
    <t>Jääkide 2024. aastasse üle viimine</t>
  </si>
  <si>
    <t>Reservi tagastatud</t>
  </si>
  <si>
    <t>Valitsemisala</t>
  </si>
  <si>
    <t>Tulemusvaldkond -nimi</t>
  </si>
  <si>
    <t>Programm - nimi</t>
  </si>
  <si>
    <t>Programmi tegevuse kood</t>
  </si>
  <si>
    <t>Programmi tegevuse nimi</t>
  </si>
  <si>
    <t>Majanduslik sisu</t>
  </si>
  <si>
    <t>Eelarve liik</t>
  </si>
  <si>
    <t>Eelarve objekti kood</t>
  </si>
  <si>
    <t>Objekti nimi</t>
  </si>
  <si>
    <t>Lõplik eelarve</t>
  </si>
  <si>
    <t>Üle toodud eelnevast aastast</t>
  </si>
  <si>
    <t xml:space="preserve">Täitmine </t>
  </si>
  <si>
    <t>Kasutamata eelarve jääk</t>
  </si>
  <si>
    <t>Võimalik üle viia järgnevasse aastasse</t>
  </si>
  <si>
    <t>Korraline ülekandmine</t>
  </si>
  <si>
    <t>Erakorraline ülekandmine</t>
  </si>
  <si>
    <t>Ülekandmine kokku</t>
  </si>
  <si>
    <t>Erakorralise käskkirjaga reservi tagastatud (käskkirja nr xx alusel)</t>
  </si>
  <si>
    <t xml:space="preserve">Korralise käskkirjaga reservi tagastatud (käesoleva käskkirjaga) </t>
  </si>
  <si>
    <t>(1)</t>
  </si>
  <si>
    <t>(2)</t>
  </si>
  <si>
    <t>(3)</t>
  </si>
  <si>
    <t>(4)=(1)+(2)-(3)</t>
  </si>
  <si>
    <t>(5)</t>
  </si>
  <si>
    <t>(6)</t>
  </si>
  <si>
    <t>(7)</t>
  </si>
  <si>
    <t>(8)=(6)+(7)</t>
  </si>
  <si>
    <t>(9)</t>
  </si>
  <si>
    <t>(10)</t>
  </si>
  <si>
    <t>Kliimaministeeriumi valitsemisala</t>
  </si>
  <si>
    <t/>
  </si>
  <si>
    <t>Finantseerimistehingud</t>
  </si>
  <si>
    <t>20</t>
  </si>
  <si>
    <t>Investeeringud</t>
  </si>
  <si>
    <t>IN050058</t>
  </si>
  <si>
    <t>Arbavere puursüdamike hoidla</t>
  </si>
  <si>
    <t>IN050098</t>
  </si>
  <si>
    <t>Rohuküla sadama kai taastamine</t>
  </si>
  <si>
    <t>IN050194</t>
  </si>
  <si>
    <t>Veeteede süvendamine</t>
  </si>
  <si>
    <t>IN050433</t>
  </si>
  <si>
    <t>Riigimaanteede remondi koondprojekt</t>
  </si>
  <si>
    <t>IN050442</t>
  </si>
  <si>
    <t>Tuletornid</t>
  </si>
  <si>
    <t>IN050968</t>
  </si>
  <si>
    <t>Transpordiameti hoonete renoveerimine</t>
  </si>
  <si>
    <t>IN050969</t>
  </si>
  <si>
    <t>Maade soetamine</t>
  </si>
  <si>
    <t>IN05A054</t>
  </si>
  <si>
    <t>VA Rohuküla tootmisbaasi uuendamine</t>
  </si>
  <si>
    <t>IN05C001</t>
  </si>
  <si>
    <t>RIL hooned ja rajatised</t>
  </si>
  <si>
    <t>OR050138</t>
  </si>
  <si>
    <t>Maa korralise hindamise läbiviimine</t>
  </si>
  <si>
    <t>SR050064</t>
  </si>
  <si>
    <t>IT vajaku kompenseerimine</t>
  </si>
  <si>
    <t>SR050071</t>
  </si>
  <si>
    <t>IT vajaku kompenseerimiseks</t>
  </si>
  <si>
    <t>SR050077</t>
  </si>
  <si>
    <t>SR050079</t>
  </si>
  <si>
    <t>Avaandmete direktiivi rakendamine</t>
  </si>
  <si>
    <t>SR050112</t>
  </si>
  <si>
    <t>Ilmaandmete avalikustamise kulud</t>
  </si>
  <si>
    <t>SR050164</t>
  </si>
  <si>
    <t>TA uuringu elluviimine</t>
  </si>
  <si>
    <t>SR050173</t>
  </si>
  <si>
    <t>Keri tuletorni rekonstr. I etapp</t>
  </si>
  <si>
    <t>VR050198</t>
  </si>
  <si>
    <t>Lootsikaatri soetus</t>
  </si>
  <si>
    <t>VR050225</t>
  </si>
  <si>
    <t>Väikeinvesteeringud ja lootsiteenus</t>
  </si>
  <si>
    <t>VR050240</t>
  </si>
  <si>
    <t>Väikeinvesteeringud ja jäämurdeteenus</t>
  </si>
  <si>
    <t>Digiühiskond</t>
  </si>
  <si>
    <t>Digiühiskonna programm</t>
  </si>
  <si>
    <t>IYDA0101</t>
  </si>
  <si>
    <t>Digiriigi arenguhüpped</t>
  </si>
  <si>
    <t>Kulud</t>
  </si>
  <si>
    <t>IYDA0102</t>
  </si>
  <si>
    <t>Digiriigi alusbaasi kindlustamine</t>
  </si>
  <si>
    <t>IYDA0201</t>
  </si>
  <si>
    <t>Riikliku küberturvalisuse juhtimine ja koordineerimine</t>
  </si>
  <si>
    <t>IYDA0202</t>
  </si>
  <si>
    <t>Suundumuste, riskide ja mõjude analüüsivõime arendamine</t>
  </si>
  <si>
    <t>IYDA0203</t>
  </si>
  <si>
    <t>Küberturvalisuse tagamine</t>
  </si>
  <si>
    <t>IYDA0301</t>
  </si>
  <si>
    <t>Õigusruumi tagamine</t>
  </si>
  <si>
    <t>IYDA0302</t>
  </si>
  <si>
    <t>Juurdepääsuvõrkude väljaarendamine</t>
  </si>
  <si>
    <t>IYDA0303</t>
  </si>
  <si>
    <t>5G taristu ja teenuste arendamine</t>
  </si>
  <si>
    <t>Keskkond</t>
  </si>
  <si>
    <t>Keskkonnakaitse ja -kasutuse programm</t>
  </si>
  <si>
    <t>KK010602</t>
  </si>
  <si>
    <t>Kesksed IT-teenused teistele valitsemisaladele</t>
  </si>
  <si>
    <t>Energeetika</t>
  </si>
  <si>
    <t>Energeetika ja maavarade programm</t>
  </si>
  <si>
    <t>ENEN0101</t>
  </si>
  <si>
    <t>Elektri- ja gaasivarustuse tagamine</t>
  </si>
  <si>
    <t>VR050052</t>
  </si>
  <si>
    <t>Elektri, gaasi ja võrgut. kompens.</t>
  </si>
  <si>
    <t>ENEN0102</t>
  </si>
  <si>
    <t>Transpordikütuste reguleerimine ja kütusevarude säilitamine</t>
  </si>
  <si>
    <t>ENEN0103</t>
  </si>
  <si>
    <t>Soojusenergia tõhus tootmine ja ülekanne</t>
  </si>
  <si>
    <t>VR050093</t>
  </si>
  <si>
    <t>Kaugkütte kompens. kodutarbijale</t>
  </si>
  <si>
    <t>ENEN0201</t>
  </si>
  <si>
    <t>Energiatõhususe suurendamine</t>
  </si>
  <si>
    <t>SR050176</t>
  </si>
  <si>
    <t>V.toetuste mitteabikõlblikud kulud</t>
  </si>
  <si>
    <t>ENEN0202</t>
  </si>
  <si>
    <t>Taastuvenergia osakaalu suurendamine lõpptarbimises</t>
  </si>
  <si>
    <t>ENEN0301</t>
  </si>
  <si>
    <t>Maapõueressursside uurimine ja kasutamine</t>
  </si>
  <si>
    <t>SE000028</t>
  </si>
  <si>
    <t>Vahendid Riigi Kinnisvara Aktsiaseltsile</t>
  </si>
  <si>
    <t>ENEN0302</t>
  </si>
  <si>
    <t>Geoloogiline kaardistamine ja maapõuealane kompetents</t>
  </si>
  <si>
    <t>KK010101</t>
  </si>
  <si>
    <t>Kliimamuutuste leevendamine ja kliimamuutustega kohanemine</t>
  </si>
  <si>
    <t>OR050187</t>
  </si>
  <si>
    <t>Maa korralise hindamise ettevalmistamine</t>
  </si>
  <si>
    <t>SE000080</t>
  </si>
  <si>
    <t>2022 LEA</t>
  </si>
  <si>
    <t>SR050177</t>
  </si>
  <si>
    <t>Teaduspartnerluse raamleping</t>
  </si>
  <si>
    <t>SR050183</t>
  </si>
  <si>
    <t>Ministeeriumite ümberkorraldus</t>
  </si>
  <si>
    <t>SR050195</t>
  </si>
  <si>
    <t>Energiatõhusustööd</t>
  </si>
  <si>
    <t>KK010103</t>
  </si>
  <si>
    <t>Õhukvaliteedi parendamine</t>
  </si>
  <si>
    <t>IN050410</t>
  </si>
  <si>
    <t>Reoveepuhastus ja joogiveevarustus</t>
  </si>
  <si>
    <t>KK010104</t>
  </si>
  <si>
    <t>Kiirgusohutuse tagamine</t>
  </si>
  <si>
    <t>KK010201</t>
  </si>
  <si>
    <t>Ressursitõhususe ja ökoinnovatsiooni edendamine</t>
  </si>
  <si>
    <t>KK010202</t>
  </si>
  <si>
    <t>Keskkonnamõju hindamise ja selle maandamise tagamine</t>
  </si>
  <si>
    <t>KK010203</t>
  </si>
  <si>
    <t>Tööstusheite- ja kemikaalipoliitika kujundamine</t>
  </si>
  <si>
    <t>KK010204</t>
  </si>
  <si>
    <t>Jäätmemajanduse korraldamine</t>
  </si>
  <si>
    <t>KK010205</t>
  </si>
  <si>
    <t>Maapõueressursside kasutamise ja kaitse korraldamine</t>
  </si>
  <si>
    <t>KK010301</t>
  </si>
  <si>
    <t>Merekeskkonna kaitse suunamine</t>
  </si>
  <si>
    <t>KK010302</t>
  </si>
  <si>
    <t>Vee säästliku kasutamise ja kaitse tagamine</t>
  </si>
  <si>
    <t>KK010401</t>
  </si>
  <si>
    <t>Elurikkuse kaitse tagamine</t>
  </si>
  <si>
    <t>KK010402</t>
  </si>
  <si>
    <t>Metsanduse arengu suunamine</t>
  </si>
  <si>
    <t>KK010501</t>
  </si>
  <si>
    <t>Maatoimingute korraldamine</t>
  </si>
  <si>
    <t>OR050165</t>
  </si>
  <si>
    <t>Maareformiga seotud kulutusteks</t>
  </si>
  <si>
    <t>OR050455</t>
  </si>
  <si>
    <t>Maareform ja ettevõtluse arendamine</t>
  </si>
  <si>
    <t>KK010502</t>
  </si>
  <si>
    <t>Ruumiandmete hõive, analüüsid ja kättesaadavaks tegemine</t>
  </si>
  <si>
    <t>OR090016</t>
  </si>
  <si>
    <t>Hoonestusõiguse seadmine</t>
  </si>
  <si>
    <t>SR050132</t>
  </si>
  <si>
    <t>Ruumiandmete avalikustamise kulud</t>
  </si>
  <si>
    <t>KK010503</t>
  </si>
  <si>
    <t>Ilmaandmete, -prognooside ja -hoiatuste tagamine</t>
  </si>
  <si>
    <t>KK010601</t>
  </si>
  <si>
    <t>Keskkonnateadlikkuse ja -hariduse arengu suunamine</t>
  </si>
  <si>
    <t>Põllumajandus ja kalandus</t>
  </si>
  <si>
    <t>Kalandus</t>
  </si>
  <si>
    <t>PK020105</t>
  </si>
  <si>
    <t>Kalavarude ja -püügi haldamise ning kaitse korraldamine</t>
  </si>
  <si>
    <t>Teadus- ja arendustegevus ning ettevõtlus</t>
  </si>
  <si>
    <t>Ehitus</t>
  </si>
  <si>
    <t>TIEH0101</t>
  </si>
  <si>
    <t>E-ehitus</t>
  </si>
  <si>
    <t>TIEH0102</t>
  </si>
  <si>
    <t>Ehitatud keskkonna ja ehitusvaldkonna kvaliteedi arendamine</t>
  </si>
  <si>
    <t>TIEH0201</t>
  </si>
  <si>
    <t>Eluasemepoliitika</t>
  </si>
  <si>
    <t>IN050068</t>
  </si>
  <si>
    <t>KOV elamufondi invest. toetamine</t>
  </si>
  <si>
    <t>IN050079</t>
  </si>
  <si>
    <t>Väikeelamute energiatõhususe suurendam</t>
  </si>
  <si>
    <t>IN050100</t>
  </si>
  <si>
    <t>Elukondlik kinnisvara maapiirkondades</t>
  </si>
  <si>
    <t>IN05A077</t>
  </si>
  <si>
    <t>Kodutoetus lasterik perede eluaseme par</t>
  </si>
  <si>
    <t>OR050055</t>
  </si>
  <si>
    <t>Lammutusjäätmete taaskasutusuuring</t>
  </si>
  <si>
    <t>Ettevõtluskeskkond</t>
  </si>
  <si>
    <t>TIEK0101</t>
  </si>
  <si>
    <t>Ettevõtluse arendamise soodustamine</t>
  </si>
  <si>
    <t>TIEK0102</t>
  </si>
  <si>
    <t>Ettevõtete konkurentsivõime ja ekspordi edendamine</t>
  </si>
  <si>
    <t>TIEK0103</t>
  </si>
  <si>
    <t>Tehnoloogia- ja arendusmahukate investeeringute soodustamine</t>
  </si>
  <si>
    <t>Teadmussiirde programm</t>
  </si>
  <si>
    <t>TI020101</t>
  </si>
  <si>
    <t>Ettevõtete innovatsiooni-, digi- ja rohepöörde soodustamine</t>
  </si>
  <si>
    <t>TI020102</t>
  </si>
  <si>
    <t>Teadus- ja tehnoloogiamahuka iduettevõtluse arendamine</t>
  </si>
  <si>
    <t>Transport</t>
  </si>
  <si>
    <t>Transpordi ja liikuvuse programm</t>
  </si>
  <si>
    <t>TR010101</t>
  </si>
  <si>
    <t>Veetransporditaristu arendamine ja korrashoid</t>
  </si>
  <si>
    <t>Transpordi konkurentsivõime ja liikuvuse programm</t>
  </si>
  <si>
    <t>TRTR0301</t>
  </si>
  <si>
    <t>Raudteetransporditaristu arendamine ja korrashoid</t>
  </si>
  <si>
    <t>IN050059</t>
  </si>
  <si>
    <t>Tln-Tartu rt uuendus kiiruseks 135 km/h</t>
  </si>
  <si>
    <t>IN050061</t>
  </si>
  <si>
    <t>Tapa-Narva rt uuend kiiruseks 135 km/h</t>
  </si>
  <si>
    <t>IN050097</t>
  </si>
  <si>
    <t>Haapsalu raudtee etapp II</t>
  </si>
  <si>
    <t>SR05A171</t>
  </si>
  <si>
    <t>EVR tulude-kulude tasakaal 2023</t>
  </si>
  <si>
    <t>TRTR0302</t>
  </si>
  <si>
    <t>TRTR0303</t>
  </si>
  <si>
    <t>Õhutransporditaristu arendamine ja korrashoid</t>
  </si>
  <si>
    <t>TRTR0304</t>
  </si>
  <si>
    <t>Maanteetransporditaristu arendamine ja korrashoid</t>
  </si>
  <si>
    <t>IN050102</t>
  </si>
  <si>
    <t>Pärnu linnale ühenduste tagamine</t>
  </si>
  <si>
    <t>IN050103</t>
  </si>
  <si>
    <t>Kadrina valla kergliiklustee</t>
  </si>
  <si>
    <t>TRTR0305</t>
  </si>
  <si>
    <t>Keskkonnahoidlikku liikuvust soodustav linnakeskkond</t>
  </si>
  <si>
    <t>TRTR0306</t>
  </si>
  <si>
    <t>Ohutu ja säästlik transpordisüsteem</t>
  </si>
  <si>
    <t>TRTR0401</t>
  </si>
  <si>
    <t>Liikuvusteenuse arendamine ja soodustamine</t>
  </si>
  <si>
    <r>
      <t>(5) veerg</t>
    </r>
    <r>
      <rPr>
        <sz val="9"/>
        <color theme="1"/>
        <rFont val="Times New Roman"/>
        <family val="1"/>
        <charset val="186"/>
      </rPr>
      <t xml:space="preserve"> leitakse veerust (4) järgmiste tingimustega (kõik summad absoluutväärtuses):</t>
    </r>
  </si>
  <si>
    <t>a) veeru (5) lahtris summa ei tohi olla suurem kui veerus (1) lahtris summast tingimusel, et veeru (1) lahtris ei ole null;</t>
  </si>
  <si>
    <t>b) kui veeru (5) lahtri summa on suurem kui veeru (1) lahtris summa, siis veeru (5) lahtris summa võrdub veeru (1) lahtris oleva summaga;</t>
  </si>
  <si>
    <t>c) kui veeru (1) lahtris on null, siis veeru (5) lahtris peab olema samuti null;</t>
  </si>
  <si>
    <t>d) OR objekti puhul veeru (5) lahtri summa võrdub veeru (4) lahtri summaga, kui valitsuse korralduses ei ole seatud eelarve kasutamisele tähtaega. Viimasel juhul lähtutakse tähtajast.</t>
  </si>
  <si>
    <t>e) kui eelarve objekt on "SE000028" siis võimalikuks ülekandmise summaks on null (0);</t>
  </si>
  <si>
    <t>f) kui veerg (3) on suurem kui veerg (2), siis võimalikuks ülekandmise summaks on veerg (4);</t>
  </si>
  <si>
    <t xml:space="preserve">g) kui veerg (2) on suurem kui veerg (3) ja veerg (4) on suurem kui veerg (1), siis veerg (5) võrdub veerg (1). </t>
  </si>
  <si>
    <r>
      <rPr>
        <b/>
        <sz val="9"/>
        <color theme="1"/>
        <rFont val="Times New Roman"/>
        <family val="1"/>
        <charset val="186"/>
      </rPr>
      <t>(7) veerg</t>
    </r>
    <r>
      <rPr>
        <sz val="9"/>
        <color theme="1"/>
        <rFont val="Times New Roman"/>
        <family val="1"/>
        <charset val="186"/>
      </rPr>
      <t xml:space="preserve"> sisaldab andmeid kõikide erakorraliste eelarvejääkide ülekandmiste kohta.</t>
    </r>
  </si>
  <si>
    <r>
      <rPr>
        <b/>
        <sz val="9"/>
        <rFont val="Times New Roman"/>
        <family val="1"/>
        <charset val="186"/>
      </rPr>
      <t>(8) veerg</t>
    </r>
    <r>
      <rPr>
        <sz val="9"/>
        <rFont val="Times New Roman"/>
        <family val="1"/>
        <charset val="186"/>
      </rPr>
      <t xml:space="preserve"> sisaldab andmeid korralise (lõpliku) ülekandmise kohta – mais antava ministri käskkirja alus.</t>
    </r>
  </si>
  <si>
    <r>
      <rPr>
        <b/>
        <sz val="9"/>
        <rFont val="Times New Roman"/>
        <family val="1"/>
        <charset val="186"/>
      </rPr>
      <t>(9) veerge</t>
    </r>
    <r>
      <rPr>
        <sz val="9"/>
        <rFont val="Times New Roman"/>
        <family val="1"/>
        <charset val="186"/>
      </rPr>
      <t xml:space="preserve"> võib olla mitu vastavalt erakorraliste käskkirjade arvule.</t>
    </r>
  </si>
  <si>
    <t>Asutus</t>
  </si>
  <si>
    <t>Asutus_nimi</t>
  </si>
  <si>
    <t>L10</t>
  </si>
  <si>
    <t>Kliimaministeerium</t>
  </si>
  <si>
    <t>LA0</t>
  </si>
  <si>
    <t>Transpordiamet</t>
  </si>
  <si>
    <t>L40</t>
  </si>
  <si>
    <t>Keskkonnaagentuur</t>
  </si>
  <si>
    <t>L20</t>
  </si>
  <si>
    <t>Maa-amet</t>
  </si>
  <si>
    <t>L70</t>
  </si>
  <si>
    <t>Keskkonnaamet</t>
  </si>
  <si>
    <t>LB0</t>
  </si>
  <si>
    <t>Eesti Geoloogiateenistus</t>
  </si>
  <si>
    <t>L90</t>
  </si>
  <si>
    <t>Keskkonnaministeeriumi Infotehnoloogiakeskus</t>
  </si>
  <si>
    <t>LC0</t>
  </si>
  <si>
    <t>Riigilaevastik</t>
  </si>
  <si>
    <t>OR050065</t>
  </si>
  <si>
    <t>Maareformi kulutuste katteks</t>
  </si>
  <si>
    <t>OR050135</t>
  </si>
  <si>
    <t>Õigusvastaselt võõrandatud maa tagastami</t>
  </si>
  <si>
    <t>L60</t>
  </si>
  <si>
    <t>Eesti Loodusmuuseum</t>
  </si>
  <si>
    <t>IN001000</t>
  </si>
  <si>
    <t>Inventar</t>
  </si>
  <si>
    <t>IN002000</t>
  </si>
  <si>
    <t>IT investeeringud</t>
  </si>
  <si>
    <t>IN005000</t>
  </si>
  <si>
    <t>Muud investeeringud</t>
  </si>
  <si>
    <t>IN004000</t>
  </si>
  <si>
    <t>Masinad ja seadmed</t>
  </si>
  <si>
    <t>SE05A003</t>
  </si>
  <si>
    <t>Talvine navigatsioon</t>
  </si>
  <si>
    <t>IN003000</t>
  </si>
  <si>
    <t>Transpordivahendid</t>
  </si>
  <si>
    <t>SE000037</t>
  </si>
  <si>
    <t>Fondide haldamine</t>
  </si>
  <si>
    <t>None</t>
  </si>
  <si>
    <t>IN002080</t>
  </si>
  <si>
    <t>2022 LEA IT investeeringud</t>
  </si>
  <si>
    <t>SE000003</t>
  </si>
  <si>
    <t>Rahvusvahelised liikmemaksud</t>
  </si>
  <si>
    <t>SE000060</t>
  </si>
  <si>
    <t>RRF</t>
  </si>
  <si>
    <t>IN000099</t>
  </si>
  <si>
    <t>Täiendavad investeeringutoetused</t>
  </si>
  <si>
    <t>SE000099</t>
  </si>
  <si>
    <t>Täiendav eraldis</t>
  </si>
  <si>
    <t>SE05A001</t>
  </si>
  <si>
    <t>Kohalike teede hoid</t>
  </si>
  <si>
    <t>tegelik jääk</t>
  </si>
  <si>
    <t>Üldkokkuvõte</t>
  </si>
  <si>
    <t>IT@</t>
  </si>
  <si>
    <t>EELARVE</t>
  </si>
  <si>
    <t>TÄITMINE</t>
  </si>
  <si>
    <t>KEA</t>
  </si>
  <si>
    <t>KAUR</t>
  </si>
  <si>
    <t>KLIM</t>
  </si>
  <si>
    <t>MAATOI</t>
  </si>
  <si>
    <t>Ülekandmine kokku2ük</t>
  </si>
  <si>
    <t>Ülekandmine kokku1ü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</si>
</sst>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charset val="186"/>
      <scheme val="minor"/>
    </font>
    <font>
      <b/>
      <sz val="11"/>
      <color rgb="FFFA7D00"/>
      <name val="Aptos Narrow"/>
      <family val="2"/>
      <charset val="186"/>
      <scheme val="minor"/>
    </font>
    <font>
      <sz val="11"/>
      <color indexed="8"/>
      <name val="Aptos Narrow"/>
      <family val="2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i/>
      <sz val="8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9"/>
      <color theme="1" tint="4.9989318521683403E-2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rgb="FFFA7D00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u/>
      <sz val="11"/>
      <color theme="10"/>
      <name val="Aptos Narrow"/>
      <family val="2"/>
      <charset val="186"/>
      <scheme val="minor"/>
    </font>
    <font>
      <sz val="11"/>
      <color rgb="FF006100"/>
      <name val="Aptos Narrow"/>
      <family val="2"/>
      <charset val="186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6">
    <xf numFmtId="0" fontId="0" fillId="0" borderId="0"/>
    <xf numFmtId="0" fontId="2" fillId="2" borderId="1" applyNumberFormat="0" applyAlignment="0" applyProtection="0"/>
    <xf numFmtId="0" fontId="3" fillId="0" borderId="0"/>
    <xf numFmtId="0" fontId="1" fillId="0" borderId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</cellStyleXfs>
  <cellXfs count="77">
    <xf numFmtId="0" fontId="0" fillId="0" borderId="0" xfId="0"/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indent="2"/>
    </xf>
    <xf numFmtId="3" fontId="9" fillId="0" borderId="0" xfId="0" applyNumberFormat="1" applyFont="1"/>
    <xf numFmtId="3" fontId="0" fillId="0" borderId="0" xfId="0" applyNumberFormat="1"/>
    <xf numFmtId="0" fontId="10" fillId="0" borderId="0" xfId="2" applyFont="1"/>
    <xf numFmtId="0" fontId="11" fillId="3" borderId="7" xfId="0" applyFont="1" applyFill="1" applyBorder="1" applyAlignment="1">
      <alignment vertical="center" wrapText="1"/>
    </xf>
    <xf numFmtId="0" fontId="11" fillId="3" borderId="8" xfId="0" applyFont="1" applyFill="1" applyBorder="1" applyAlignment="1">
      <alignment vertical="center" wrapText="1"/>
    </xf>
    <xf numFmtId="0" fontId="11" fillId="7" borderId="8" xfId="0" applyFont="1" applyFill="1" applyBorder="1" applyAlignment="1">
      <alignment vertical="center" wrapText="1"/>
    </xf>
    <xf numFmtId="3" fontId="11" fillId="4" borderId="9" xfId="3" applyNumberFormat="1" applyFont="1" applyFill="1" applyBorder="1" applyAlignment="1" applyProtection="1">
      <alignment horizontal="center" vertical="center" wrapText="1"/>
      <protection locked="0"/>
    </xf>
    <xf numFmtId="3" fontId="11" fillId="4" borderId="10" xfId="3" applyNumberFormat="1" applyFont="1" applyFill="1" applyBorder="1" applyAlignment="1" applyProtection="1">
      <alignment horizontal="center" vertical="center" wrapText="1"/>
      <protection locked="0"/>
    </xf>
    <xf numFmtId="3" fontId="11" fillId="4" borderId="11" xfId="3" applyNumberFormat="1" applyFont="1" applyFill="1" applyBorder="1" applyAlignment="1" applyProtection="1">
      <alignment horizontal="center" vertical="center" wrapText="1"/>
      <protection locked="0"/>
    </xf>
    <xf numFmtId="4" fontId="11" fillId="5" borderId="11" xfId="2" applyNumberFormat="1" applyFont="1" applyFill="1" applyBorder="1" applyAlignment="1">
      <alignment horizontal="center" vertical="center" wrapText="1"/>
    </xf>
    <xf numFmtId="3" fontId="12" fillId="6" borderId="12" xfId="3" applyNumberFormat="1" applyFont="1" applyFill="1" applyBorder="1" applyAlignment="1" applyProtection="1">
      <alignment horizontal="center" vertical="center" wrapText="1"/>
      <protection locked="0"/>
    </xf>
    <xf numFmtId="0" fontId="13" fillId="0" borderId="14" xfId="0" applyFont="1" applyBorder="1"/>
    <xf numFmtId="3" fontId="13" fillId="0" borderId="0" xfId="0" applyNumberFormat="1" applyFont="1"/>
    <xf numFmtId="0" fontId="13" fillId="0" borderId="0" xfId="0" applyFont="1"/>
    <xf numFmtId="0" fontId="7" fillId="0" borderId="0" xfId="0" applyFont="1" applyAlignment="1">
      <alignment vertical="top"/>
    </xf>
    <xf numFmtId="3" fontId="14" fillId="0" borderId="1" xfId="1" applyNumberFormat="1" applyFont="1" applyFill="1"/>
    <xf numFmtId="0" fontId="15" fillId="0" borderId="0" xfId="0" applyFont="1" applyAlignment="1">
      <alignment vertical="top"/>
    </xf>
    <xf numFmtId="3" fontId="14" fillId="2" borderId="1" xfId="1" applyNumberFormat="1" applyFont="1"/>
    <xf numFmtId="1" fontId="4" fillId="0" borderId="0" xfId="2" applyNumberFormat="1" applyFont="1" applyAlignment="1">
      <alignment horizontal="right"/>
    </xf>
    <xf numFmtId="1" fontId="5" fillId="0" borderId="0" xfId="2" applyNumberFormat="1" applyFont="1" applyAlignment="1">
      <alignment horizontal="right"/>
    </xf>
    <xf numFmtId="1" fontId="4" fillId="0" borderId="0" xfId="0" applyNumberFormat="1" applyFont="1" applyAlignment="1">
      <alignment horizontal="right" vertical="top"/>
    </xf>
    <xf numFmtId="1" fontId="8" fillId="0" borderId="0" xfId="0" applyNumberFormat="1" applyFont="1" applyAlignment="1">
      <alignment horizontal="right" vertical="top"/>
    </xf>
    <xf numFmtId="1" fontId="12" fillId="6" borderId="13" xfId="3" applyNumberFormat="1" applyFont="1" applyFill="1" applyBorder="1" applyAlignment="1" applyProtection="1">
      <alignment horizontal="center" vertical="center" wrapText="1"/>
      <protection locked="0"/>
    </xf>
    <xf numFmtId="1" fontId="13" fillId="0" borderId="0" xfId="0" applyNumberFormat="1" applyFont="1"/>
    <xf numFmtId="1" fontId="0" fillId="0" borderId="0" xfId="0" applyNumberFormat="1"/>
    <xf numFmtId="0" fontId="13" fillId="8" borderId="0" xfId="0" applyFont="1" applyFill="1"/>
    <xf numFmtId="3" fontId="13" fillId="8" borderId="0" xfId="0" applyNumberFormat="1" applyFont="1" applyFill="1"/>
    <xf numFmtId="3" fontId="14" fillId="8" borderId="1" xfId="1" applyNumberFormat="1" applyFont="1" applyFill="1"/>
    <xf numFmtId="3" fontId="17" fillId="8" borderId="0" xfId="0" applyNumberFormat="1" applyFont="1" applyFill="1"/>
    <xf numFmtId="3" fontId="17" fillId="0" borderId="0" xfId="0" applyNumberFormat="1" applyFont="1"/>
    <xf numFmtId="0" fontId="18" fillId="0" borderId="0" xfId="4"/>
    <xf numFmtId="4" fontId="0" fillId="0" borderId="0" xfId="0" applyNumberFormat="1"/>
    <xf numFmtId="4" fontId="9" fillId="0" borderId="0" xfId="0" applyNumberFormat="1" applyFont="1"/>
    <xf numFmtId="4" fontId="13" fillId="0" borderId="0" xfId="0" applyNumberFormat="1" applyFont="1"/>
    <xf numFmtId="0" fontId="13" fillId="0" borderId="16" xfId="0" applyFont="1" applyBorder="1"/>
    <xf numFmtId="0" fontId="13" fillId="9" borderId="17" xfId="0" applyFont="1" applyFill="1" applyBorder="1"/>
    <xf numFmtId="4" fontId="13" fillId="9" borderId="17" xfId="0" applyNumberFormat="1" applyFont="1" applyFill="1" applyBorder="1"/>
    <xf numFmtId="0" fontId="10" fillId="9" borderId="16" xfId="0" applyFont="1" applyFill="1" applyBorder="1" applyAlignment="1">
      <alignment wrapText="1"/>
    </xf>
    <xf numFmtId="4" fontId="10" fillId="9" borderId="16" xfId="0" applyNumberFormat="1" applyFont="1" applyFill="1" applyBorder="1" applyAlignment="1">
      <alignment wrapText="1"/>
    </xf>
    <xf numFmtId="4" fontId="4" fillId="0" borderId="0" xfId="0" applyNumberFormat="1" applyFont="1" applyAlignment="1">
      <alignment horizontal="right" vertical="top"/>
    </xf>
    <xf numFmtId="4" fontId="8" fillId="0" borderId="0" xfId="0" applyNumberFormat="1" applyFont="1" applyAlignment="1">
      <alignment horizontal="right" vertical="top"/>
    </xf>
    <xf numFmtId="4" fontId="12" fillId="6" borderId="12" xfId="3" applyNumberFormat="1" applyFont="1" applyFill="1" applyBorder="1" applyAlignment="1" applyProtection="1">
      <alignment horizontal="center" vertical="center" wrapText="1"/>
      <protection locked="0"/>
    </xf>
    <xf numFmtId="4" fontId="13" fillId="0" borderId="15" xfId="0" quotePrefix="1" applyNumberFormat="1" applyFont="1" applyBorder="1" applyAlignment="1">
      <alignment horizontal="center"/>
    </xf>
    <xf numFmtId="0" fontId="13" fillId="0" borderId="0" xfId="0" quotePrefix="1" applyFont="1"/>
    <xf numFmtId="3" fontId="10" fillId="9" borderId="16" xfId="0" applyNumberFormat="1" applyFont="1" applyFill="1" applyBorder="1" applyAlignment="1">
      <alignment wrapText="1"/>
    </xf>
    <xf numFmtId="3" fontId="13" fillId="9" borderId="17" xfId="0" applyNumberFormat="1" applyFont="1" applyFill="1" applyBorder="1"/>
    <xf numFmtId="3" fontId="11" fillId="5" borderId="11" xfId="2" applyNumberFormat="1" applyFont="1" applyFill="1" applyBorder="1" applyAlignment="1">
      <alignment horizontal="center" vertical="center" wrapText="1"/>
    </xf>
    <xf numFmtId="3" fontId="19" fillId="0" borderId="0" xfId="5" applyNumberFormat="1" applyFill="1"/>
    <xf numFmtId="3" fontId="13" fillId="0" borderId="15" xfId="0" quotePrefix="1" applyNumberFormat="1" applyFont="1" applyBorder="1" applyAlignment="1">
      <alignment horizontal="center"/>
    </xf>
    <xf numFmtId="3" fontId="13" fillId="0" borderId="15" xfId="0" applyNumberFormat="1" applyFont="1" applyBorder="1"/>
    <xf numFmtId="3" fontId="4" fillId="0" borderId="0" xfId="2" applyNumberFormat="1" applyFont="1" applyAlignment="1">
      <alignment horizontal="right"/>
    </xf>
    <xf numFmtId="3" fontId="5" fillId="0" borderId="0" xfId="2" applyNumberFormat="1" applyFont="1" applyAlignment="1">
      <alignment horizontal="right"/>
    </xf>
    <xf numFmtId="3" fontId="4" fillId="0" borderId="0" xfId="0" applyNumberFormat="1" applyFont="1" applyAlignment="1">
      <alignment horizontal="right" vertical="top"/>
    </xf>
    <xf numFmtId="3" fontId="12" fillId="6" borderId="13" xfId="3" applyNumberFormat="1" applyFont="1" applyFill="1" applyBorder="1" applyAlignment="1" applyProtection="1">
      <alignment horizontal="center" vertical="center" wrapText="1"/>
      <protection locked="0"/>
    </xf>
    <xf numFmtId="3" fontId="13" fillId="0" borderId="15" xfId="0" applyNumberFormat="1" applyFont="1" applyBorder="1" applyAlignment="1">
      <alignment horizontal="center"/>
    </xf>
    <xf numFmtId="3" fontId="10" fillId="4" borderId="2" xfId="2" applyNumberFormat="1" applyFont="1" applyFill="1" applyBorder="1" applyAlignment="1">
      <alignment horizontal="center"/>
    </xf>
    <xf numFmtId="3" fontId="10" fillId="4" borderId="3" xfId="2" applyNumberFormat="1" applyFont="1" applyFill="1" applyBorder="1" applyAlignment="1">
      <alignment horizontal="center"/>
    </xf>
    <xf numFmtId="3" fontId="10" fillId="4" borderId="4" xfId="2" applyNumberFormat="1" applyFont="1" applyFill="1" applyBorder="1" applyAlignment="1">
      <alignment horizontal="center"/>
    </xf>
    <xf numFmtId="3" fontId="10" fillId="5" borderId="2" xfId="2" applyNumberFormat="1" applyFont="1" applyFill="1" applyBorder="1" applyAlignment="1">
      <alignment horizontal="center" wrapText="1"/>
    </xf>
    <xf numFmtId="4" fontId="10" fillId="5" borderId="3" xfId="2" applyNumberFormat="1" applyFont="1" applyFill="1" applyBorder="1" applyAlignment="1">
      <alignment horizontal="center" wrapText="1"/>
    </xf>
    <xf numFmtId="3" fontId="10" fillId="5" borderId="4" xfId="2" applyNumberFormat="1" applyFont="1" applyFill="1" applyBorder="1" applyAlignment="1">
      <alignment horizontal="center" wrapText="1"/>
    </xf>
    <xf numFmtId="4" fontId="6" fillId="6" borderId="5" xfId="0" applyNumberFormat="1" applyFont="1" applyFill="1" applyBorder="1" applyAlignment="1">
      <alignment horizontal="center"/>
    </xf>
    <xf numFmtId="4" fontId="6" fillId="6" borderId="6" xfId="0" applyNumberFormat="1" applyFont="1" applyFill="1" applyBorder="1" applyAlignment="1">
      <alignment horizontal="center"/>
    </xf>
    <xf numFmtId="4" fontId="10" fillId="4" borderId="2" xfId="2" applyNumberFormat="1" applyFont="1" applyFill="1" applyBorder="1" applyAlignment="1">
      <alignment horizontal="center"/>
    </xf>
    <xf numFmtId="4" fontId="10" fillId="4" borderId="3" xfId="2" applyNumberFormat="1" applyFont="1" applyFill="1" applyBorder="1" applyAlignment="1">
      <alignment horizontal="center"/>
    </xf>
    <xf numFmtId="4" fontId="10" fillId="4" borderId="4" xfId="2" applyNumberFormat="1" applyFont="1" applyFill="1" applyBorder="1" applyAlignment="1">
      <alignment horizontal="center"/>
    </xf>
    <xf numFmtId="4" fontId="10" fillId="5" borderId="2" xfId="2" applyNumberFormat="1" applyFont="1" applyFill="1" applyBorder="1" applyAlignment="1">
      <alignment horizontal="center" wrapText="1"/>
    </xf>
    <xf numFmtId="4" fontId="10" fillId="5" borderId="4" xfId="2" applyNumberFormat="1" applyFont="1" applyFill="1" applyBorder="1" applyAlignment="1">
      <alignment horizontal="center" wrapText="1"/>
    </xf>
    <xf numFmtId="3" fontId="6" fillId="6" borderId="5" xfId="0" applyNumberFormat="1" applyFont="1" applyFill="1" applyBorder="1" applyAlignment="1">
      <alignment horizontal="center"/>
    </xf>
    <xf numFmtId="1" fontId="6" fillId="6" borderId="6" xfId="0" applyNumberFormat="1" applyFont="1" applyFill="1" applyBorder="1" applyAlignment="1">
      <alignment horizontal="center"/>
    </xf>
    <xf numFmtId="0" fontId="10" fillId="4" borderId="2" xfId="2" applyFont="1" applyFill="1" applyBorder="1" applyAlignment="1">
      <alignment horizontal="center"/>
    </xf>
    <xf numFmtId="0" fontId="10" fillId="4" borderId="3" xfId="2" applyFont="1" applyFill="1" applyBorder="1" applyAlignment="1">
      <alignment horizontal="center"/>
    </xf>
    <xf numFmtId="0" fontId="10" fillId="4" borderId="4" xfId="2" applyFont="1" applyFill="1" applyBorder="1" applyAlignment="1">
      <alignment horizontal="center"/>
    </xf>
    <xf numFmtId="3" fontId="10" fillId="5" borderId="3" xfId="2" applyNumberFormat="1" applyFont="1" applyFill="1" applyBorder="1" applyAlignment="1">
      <alignment horizontal="center" wrapText="1"/>
    </xf>
  </cellXfs>
  <cellStyles count="6">
    <cellStyle name="Arvutus" xfId="1" builtinId="22"/>
    <cellStyle name="Hea" xfId="5" builtinId="26"/>
    <cellStyle name="Hüperlink" xfId="4" builtinId="8"/>
    <cellStyle name="Normaallaad" xfId="0" builtinId="0"/>
    <cellStyle name="Normaallaad 2" xfId="2" xr:uid="{348A303E-1434-4461-86ED-56A04130E6E3}"/>
    <cellStyle name="Normal 25 9" xfId="3" xr:uid="{5027A1D2-F925-456F-B832-B62315F54D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mailto:IT@" TargetMode="External"/><Relationship Id="rId1" Type="http://schemas.openxmlformats.org/officeDocument/2006/relationships/hyperlink" Target="mailto:IT@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B346C-4926-4553-B093-B1C7386B46CB}">
  <sheetPr>
    <tabColor rgb="FF92D050"/>
  </sheetPr>
  <dimension ref="A1:T354"/>
  <sheetViews>
    <sheetView tabSelected="1" zoomScaleNormal="100" workbookViewId="0">
      <pane xSplit="2" ySplit="7" topLeftCell="C206" activePane="bottomRight" state="frozen"/>
      <selection activeCell="N69" sqref="N69"/>
      <selection pane="topRight" activeCell="N69" sqref="N69"/>
      <selection pane="bottomLeft" activeCell="N69" sqref="N69"/>
      <selection pane="bottomRight" activeCell="E219" sqref="E219"/>
    </sheetView>
  </sheetViews>
  <sheetFormatPr defaultRowHeight="15" x14ac:dyDescent="0.25"/>
  <cols>
    <col min="1" max="1" width="29.85546875" customWidth="1"/>
    <col min="2" max="2" width="12.42578125" customWidth="1"/>
    <col min="3" max="3" width="16.42578125" customWidth="1"/>
    <col min="4" max="4" width="12" customWidth="1"/>
    <col min="5" max="5" width="56.140625" customWidth="1"/>
    <col min="6" max="6" width="14.140625" customWidth="1"/>
    <col min="8" max="8" width="13" customWidth="1"/>
    <col min="9" max="9" width="23.140625" customWidth="1"/>
    <col min="10" max="10" width="15.42578125" style="4" customWidth="1"/>
    <col min="11" max="11" width="13" style="4" customWidth="1"/>
    <col min="12" max="12" width="18.7109375" style="4" customWidth="1"/>
    <col min="13" max="13" width="14.42578125" style="4" bestFit="1" customWidth="1"/>
    <col min="14" max="14" width="13.5703125" style="4" customWidth="1"/>
    <col min="15" max="15" width="13.7109375" style="4" customWidth="1"/>
    <col min="16" max="16" width="13.42578125" style="34" customWidth="1"/>
    <col min="17" max="17" width="14.140625" style="4" customWidth="1"/>
    <col min="18" max="18" width="12.5703125" style="34" customWidth="1"/>
    <col min="19" max="19" width="10.5703125" style="4" customWidth="1"/>
    <col min="20" max="20" width="12.85546875" customWidth="1"/>
  </cols>
  <sheetData>
    <row r="1" spans="1:20" ht="15.75" x14ac:dyDescent="0.25">
      <c r="S1" s="53" t="s">
        <v>0</v>
      </c>
    </row>
    <row r="2" spans="1:20" ht="15.75" x14ac:dyDescent="0.25">
      <c r="S2" s="54" t="s">
        <v>1</v>
      </c>
    </row>
    <row r="3" spans="1:20" ht="15.75" x14ac:dyDescent="0.25">
      <c r="S3" s="55" t="s">
        <v>2</v>
      </c>
      <c r="T3" s="42" t="s">
        <v>3</v>
      </c>
    </row>
    <row r="4" spans="1:20" x14ac:dyDescent="0.25">
      <c r="T4" s="43"/>
    </row>
    <row r="5" spans="1:20" ht="15.75" thickBot="1" x14ac:dyDescent="0.3">
      <c r="J5" s="3">
        <f>SUBTOTAL(9,J9:J337)</f>
        <v>-328197411.55157244</v>
      </c>
      <c r="K5" s="3">
        <f>SUBTOTAL(9,K9:K337)</f>
        <v>-40716279.06401778</v>
      </c>
      <c r="L5" s="3">
        <f>SUBTOTAL(9,L9:L337)</f>
        <v>-253536086.18040448</v>
      </c>
      <c r="M5" s="3">
        <f>SUBTOTAL(9,M9:M337)</f>
        <v>-74661325.371168137</v>
      </c>
      <c r="N5" s="3">
        <f>SUBTOTAL(9,N9:N337)</f>
        <v>-68248655.796487272</v>
      </c>
      <c r="O5" s="3">
        <f>SUBTOTAL(9,O9:O338)</f>
        <v>-64474047.080736369</v>
      </c>
      <c r="P5" s="35">
        <f>SUBTOTAL(9,P9:P338)</f>
        <v>-3758711.2199999997</v>
      </c>
      <c r="Q5" s="3">
        <f>SUBTOTAL(9,Q9:Q338)</f>
        <v>-68232758.300736383</v>
      </c>
      <c r="R5" s="35">
        <f>SUBTOTAL(9,R9:R339)</f>
        <v>0</v>
      </c>
      <c r="S5" s="3">
        <f>SUBTOTAL(9,S9:S338)</f>
        <v>-237721.62887999008</v>
      </c>
    </row>
    <row r="6" spans="1:20" ht="47.45" customHeight="1" thickBot="1" x14ac:dyDescent="0.3">
      <c r="D6" s="5"/>
      <c r="E6" s="5"/>
      <c r="H6" s="5"/>
      <c r="I6" s="5"/>
      <c r="J6" s="58" t="s">
        <v>5</v>
      </c>
      <c r="K6" s="59"/>
      <c r="L6" s="59"/>
      <c r="M6" s="59"/>
      <c r="N6" s="60"/>
      <c r="O6" s="61" t="s">
        <v>6</v>
      </c>
      <c r="P6" s="62"/>
      <c r="Q6" s="63"/>
      <c r="R6" s="64" t="s">
        <v>7</v>
      </c>
      <c r="S6" s="65"/>
    </row>
    <row r="7" spans="1:20" ht="83.25" customHeight="1" thickBot="1" x14ac:dyDescent="0.3">
      <c r="A7" s="6" t="s">
        <v>8</v>
      </c>
      <c r="B7" s="7" t="s">
        <v>9</v>
      </c>
      <c r="C7" s="8" t="s">
        <v>10</v>
      </c>
      <c r="D7" s="8" t="s">
        <v>11</v>
      </c>
      <c r="E7" s="8" t="s">
        <v>12</v>
      </c>
      <c r="F7" s="7" t="s">
        <v>13</v>
      </c>
      <c r="G7" s="7" t="s">
        <v>14</v>
      </c>
      <c r="H7" s="7" t="s">
        <v>15</v>
      </c>
      <c r="I7" s="7" t="s">
        <v>16</v>
      </c>
      <c r="J7" s="9" t="s">
        <v>17</v>
      </c>
      <c r="K7" s="10" t="s">
        <v>18</v>
      </c>
      <c r="L7" s="10" t="s">
        <v>19</v>
      </c>
      <c r="M7" s="10" t="s">
        <v>20</v>
      </c>
      <c r="N7" s="11" t="s">
        <v>21</v>
      </c>
      <c r="O7" s="49" t="s">
        <v>22</v>
      </c>
      <c r="P7" s="12" t="s">
        <v>23</v>
      </c>
      <c r="Q7" s="49" t="s">
        <v>316</v>
      </c>
      <c r="R7" s="44" t="s">
        <v>25</v>
      </c>
      <c r="S7" s="56" t="s">
        <v>26</v>
      </c>
    </row>
    <row r="8" spans="1:20" x14ac:dyDescent="0.25">
      <c r="A8" s="14"/>
      <c r="B8" s="14"/>
      <c r="C8" s="14"/>
      <c r="D8" s="14"/>
      <c r="E8" s="14"/>
      <c r="F8" s="14"/>
      <c r="G8" s="14"/>
      <c r="H8" s="14"/>
      <c r="I8" s="14"/>
      <c r="J8" s="57" t="s">
        <v>27</v>
      </c>
      <c r="K8" s="57" t="s">
        <v>28</v>
      </c>
      <c r="L8" s="51" t="s">
        <v>29</v>
      </c>
      <c r="M8" s="57" t="s">
        <v>30</v>
      </c>
      <c r="N8" s="51" t="s">
        <v>31</v>
      </c>
      <c r="O8" s="51" t="s">
        <v>32</v>
      </c>
      <c r="P8" s="45" t="s">
        <v>33</v>
      </c>
      <c r="Q8" s="52" t="s">
        <v>34</v>
      </c>
      <c r="R8" s="45" t="s">
        <v>35</v>
      </c>
      <c r="S8" s="51" t="s">
        <v>36</v>
      </c>
    </row>
    <row r="9" spans="1:20" x14ac:dyDescent="0.25">
      <c r="A9" s="16" t="s">
        <v>37</v>
      </c>
      <c r="B9" s="16" t="s">
        <v>38</v>
      </c>
      <c r="C9" s="16" t="s">
        <v>38</v>
      </c>
      <c r="D9" s="16" t="s">
        <v>38</v>
      </c>
      <c r="E9" s="16" t="s">
        <v>38</v>
      </c>
      <c r="F9" s="16" t="s">
        <v>39</v>
      </c>
      <c r="G9" s="16" t="s">
        <v>40</v>
      </c>
      <c r="H9" s="16" t="s">
        <v>38</v>
      </c>
      <c r="I9" s="16" t="s">
        <v>38</v>
      </c>
      <c r="J9" s="15">
        <v>-3800000</v>
      </c>
      <c r="K9" s="15">
        <v>0</v>
      </c>
      <c r="L9" s="15">
        <v>0</v>
      </c>
      <c r="M9" s="15">
        <f t="shared" ref="M9:M75" si="0">J9-L9</f>
        <v>-3800000</v>
      </c>
      <c r="N9" s="15">
        <v>-3800000</v>
      </c>
      <c r="O9" s="15">
        <f t="shared" ref="O9:O19" si="1">N9-P9</f>
        <v>-3800000</v>
      </c>
      <c r="P9" s="36">
        <v>0</v>
      </c>
      <c r="Q9" s="15">
        <f t="shared" ref="Q9:Q75" si="2">O9+P9</f>
        <v>-3800000</v>
      </c>
      <c r="R9" s="36"/>
      <c r="S9" s="15"/>
    </row>
    <row r="10" spans="1:20" x14ac:dyDescent="0.25">
      <c r="A10" s="16" t="s">
        <v>37</v>
      </c>
      <c r="B10" s="16" t="s">
        <v>38</v>
      </c>
      <c r="C10" s="16" t="s">
        <v>38</v>
      </c>
      <c r="D10" s="16" t="s">
        <v>38</v>
      </c>
      <c r="E10" s="16" t="s">
        <v>38</v>
      </c>
      <c r="F10" s="16" t="s">
        <v>41</v>
      </c>
      <c r="G10" s="16" t="s">
        <v>40</v>
      </c>
      <c r="H10" s="16" t="s">
        <v>38</v>
      </c>
      <c r="I10" s="16" t="s">
        <v>38</v>
      </c>
      <c r="J10" s="15">
        <v>-7606928.2996899989</v>
      </c>
      <c r="K10" s="15">
        <v>-2554715.8599899998</v>
      </c>
      <c r="L10" s="15">
        <v>-4060937.6694000005</v>
      </c>
      <c r="M10" s="15">
        <f t="shared" si="0"/>
        <v>-3545990.6302899984</v>
      </c>
      <c r="N10" s="15">
        <v>-3545990.63</v>
      </c>
      <c r="O10" s="15">
        <f t="shared" si="1"/>
        <v>-3545990.63</v>
      </c>
      <c r="P10" s="36">
        <v>0</v>
      </c>
      <c r="Q10" s="15">
        <f t="shared" si="2"/>
        <v>-3545990.63</v>
      </c>
      <c r="R10" s="36"/>
      <c r="S10" s="15"/>
    </row>
    <row r="11" spans="1:20" x14ac:dyDescent="0.25">
      <c r="A11" s="16" t="s">
        <v>37</v>
      </c>
      <c r="B11" s="16" t="s">
        <v>38</v>
      </c>
      <c r="C11" s="16" t="s">
        <v>38</v>
      </c>
      <c r="D11" s="16" t="s">
        <v>38</v>
      </c>
      <c r="E11" s="16" t="s">
        <v>38</v>
      </c>
      <c r="F11" s="16" t="s">
        <v>41</v>
      </c>
      <c r="G11" s="16" t="s">
        <v>40</v>
      </c>
      <c r="H11" s="16" t="s">
        <v>42</v>
      </c>
      <c r="I11" s="16" t="s">
        <v>43</v>
      </c>
      <c r="J11" s="15">
        <v>-428863.37</v>
      </c>
      <c r="K11" s="15">
        <v>-53863.37</v>
      </c>
      <c r="L11" s="15">
        <v>-35035.869700000025</v>
      </c>
      <c r="M11" s="15">
        <f t="shared" si="0"/>
        <v>-393827.50029999996</v>
      </c>
      <c r="N11" s="15">
        <v>-375000</v>
      </c>
      <c r="O11" s="15">
        <f t="shared" si="1"/>
        <v>-375000</v>
      </c>
      <c r="P11" s="36">
        <v>0</v>
      </c>
      <c r="Q11" s="15">
        <f t="shared" si="2"/>
        <v>-375000</v>
      </c>
      <c r="R11" s="36"/>
      <c r="S11" s="15"/>
    </row>
    <row r="12" spans="1:20" x14ac:dyDescent="0.25">
      <c r="A12" s="16" t="s">
        <v>37</v>
      </c>
      <c r="B12" s="16" t="s">
        <v>38</v>
      </c>
      <c r="C12" s="16" t="s">
        <v>38</v>
      </c>
      <c r="D12" s="16" t="s">
        <v>38</v>
      </c>
      <c r="E12" s="16" t="s">
        <v>38</v>
      </c>
      <c r="F12" s="16" t="s">
        <v>41</v>
      </c>
      <c r="G12" s="16" t="s">
        <v>40</v>
      </c>
      <c r="H12" s="16" t="s">
        <v>44</v>
      </c>
      <c r="I12" s="16" t="s">
        <v>45</v>
      </c>
      <c r="J12" s="15">
        <v>-94167.329889999004</v>
      </c>
      <c r="K12" s="15">
        <v>-94167</v>
      </c>
      <c r="L12" s="15">
        <v>0</v>
      </c>
      <c r="M12" s="15">
        <f t="shared" si="0"/>
        <v>-94167.329889999004</v>
      </c>
      <c r="N12" s="15">
        <v>-0.33</v>
      </c>
      <c r="O12" s="15">
        <f t="shared" si="1"/>
        <v>-0.33</v>
      </c>
      <c r="P12" s="36">
        <v>0</v>
      </c>
      <c r="Q12" s="15">
        <f t="shared" si="2"/>
        <v>-0.33</v>
      </c>
      <c r="R12" s="36"/>
      <c r="S12" s="15"/>
    </row>
    <row r="13" spans="1:20" x14ac:dyDescent="0.25">
      <c r="A13" s="16" t="s">
        <v>37</v>
      </c>
      <c r="B13" s="16" t="s">
        <v>38</v>
      </c>
      <c r="C13" s="16" t="s">
        <v>38</v>
      </c>
      <c r="D13" s="16" t="s">
        <v>38</v>
      </c>
      <c r="E13" s="16" t="s">
        <v>38</v>
      </c>
      <c r="F13" s="16" t="s">
        <v>41</v>
      </c>
      <c r="G13" s="16" t="s">
        <v>40</v>
      </c>
      <c r="H13" s="16" t="s">
        <v>46</v>
      </c>
      <c r="I13" s="16" t="s">
        <v>47</v>
      </c>
      <c r="J13" s="15">
        <v>-1060350.0001999999</v>
      </c>
      <c r="K13" s="15">
        <v>-60350.000200000002</v>
      </c>
      <c r="L13" s="15">
        <v>-580000</v>
      </c>
      <c r="M13" s="15">
        <f t="shared" si="0"/>
        <v>-480350.00019999989</v>
      </c>
      <c r="N13" s="15">
        <v>-480350</v>
      </c>
      <c r="O13" s="15">
        <f t="shared" si="1"/>
        <v>0</v>
      </c>
      <c r="P13" s="36">
        <v>-480350</v>
      </c>
      <c r="Q13" s="15">
        <f t="shared" si="2"/>
        <v>-480350</v>
      </c>
      <c r="R13" s="36"/>
      <c r="S13" s="15"/>
    </row>
    <row r="14" spans="1:20" x14ac:dyDescent="0.25">
      <c r="A14" s="16" t="s">
        <v>37</v>
      </c>
      <c r="B14" s="16" t="s">
        <v>38</v>
      </c>
      <c r="C14" s="16" t="s">
        <v>38</v>
      </c>
      <c r="D14" s="16" t="s">
        <v>38</v>
      </c>
      <c r="E14" s="16" t="s">
        <v>38</v>
      </c>
      <c r="F14" s="16" t="s">
        <v>41</v>
      </c>
      <c r="G14" s="16" t="s">
        <v>40</v>
      </c>
      <c r="H14" s="16" t="s">
        <v>48</v>
      </c>
      <c r="I14" s="16" t="s">
        <v>49</v>
      </c>
      <c r="J14" s="15">
        <v>-69371582.579970002</v>
      </c>
      <c r="K14" s="15">
        <v>0</v>
      </c>
      <c r="L14" s="15">
        <v>-57326710.467999995</v>
      </c>
      <c r="M14" s="15">
        <f t="shared" si="0"/>
        <v>-12044872.111970007</v>
      </c>
      <c r="N14" s="15">
        <v>-12044872.109999999</v>
      </c>
      <c r="O14" s="15">
        <f>N14-P14</f>
        <v>-12044872.109999999</v>
      </c>
      <c r="P14" s="36">
        <v>0</v>
      </c>
      <c r="Q14" s="15">
        <f t="shared" si="2"/>
        <v>-12044872.109999999</v>
      </c>
      <c r="R14" s="36"/>
      <c r="S14" s="15"/>
    </row>
    <row r="15" spans="1:20" x14ac:dyDescent="0.25">
      <c r="A15" s="16" t="s">
        <v>37</v>
      </c>
      <c r="B15" s="16" t="s">
        <v>38</v>
      </c>
      <c r="C15" s="16" t="s">
        <v>38</v>
      </c>
      <c r="D15" s="16" t="s">
        <v>38</v>
      </c>
      <c r="E15" s="16" t="s">
        <v>38</v>
      </c>
      <c r="F15" s="16" t="s">
        <v>41</v>
      </c>
      <c r="G15" s="16" t="s">
        <v>40</v>
      </c>
      <c r="H15" s="16" t="s">
        <v>50</v>
      </c>
      <c r="I15" s="16" t="s">
        <v>51</v>
      </c>
      <c r="J15" s="15">
        <v>-725064.27</v>
      </c>
      <c r="K15" s="15">
        <v>-325064.27</v>
      </c>
      <c r="L15" s="15">
        <v>-230057.38990000004</v>
      </c>
      <c r="M15" s="15">
        <f t="shared" si="0"/>
        <v>-495006.88009999995</v>
      </c>
      <c r="N15" s="15">
        <v>-400000</v>
      </c>
      <c r="O15" s="15">
        <f t="shared" si="1"/>
        <v>0</v>
      </c>
      <c r="P15" s="36">
        <v>-400000</v>
      </c>
      <c r="Q15" s="15">
        <f t="shared" si="2"/>
        <v>-400000</v>
      </c>
      <c r="R15" s="36"/>
      <c r="S15" s="15"/>
    </row>
    <row r="16" spans="1:20" x14ac:dyDescent="0.25">
      <c r="A16" s="16" t="s">
        <v>37</v>
      </c>
      <c r="B16" s="16" t="s">
        <v>38</v>
      </c>
      <c r="C16" s="16" t="s">
        <v>38</v>
      </c>
      <c r="D16" s="16" t="s">
        <v>38</v>
      </c>
      <c r="E16" s="16" t="s">
        <v>38</v>
      </c>
      <c r="F16" s="16" t="s">
        <v>41</v>
      </c>
      <c r="G16" s="16" t="s">
        <v>40</v>
      </c>
      <c r="H16" s="16" t="s">
        <v>52</v>
      </c>
      <c r="I16" s="16" t="s">
        <v>53</v>
      </c>
      <c r="J16" s="15">
        <v>-423058.6</v>
      </c>
      <c r="K16" s="15">
        <v>0</v>
      </c>
      <c r="L16" s="15">
        <v>-349068.48</v>
      </c>
      <c r="M16" s="15">
        <f t="shared" si="0"/>
        <v>-73990.12</v>
      </c>
      <c r="N16" s="15">
        <v>-73990.12</v>
      </c>
      <c r="O16" s="15">
        <f t="shared" si="1"/>
        <v>-73990.12</v>
      </c>
      <c r="P16" s="36">
        <v>0</v>
      </c>
      <c r="Q16" s="15">
        <f t="shared" si="2"/>
        <v>-73990.12</v>
      </c>
      <c r="R16" s="36"/>
      <c r="S16" s="15"/>
    </row>
    <row r="17" spans="1:19" x14ac:dyDescent="0.25">
      <c r="A17" s="16" t="s">
        <v>37</v>
      </c>
      <c r="B17" s="16" t="s">
        <v>38</v>
      </c>
      <c r="C17" s="16" t="s">
        <v>38</v>
      </c>
      <c r="D17" s="16" t="s">
        <v>38</v>
      </c>
      <c r="E17" s="16" t="s">
        <v>38</v>
      </c>
      <c r="F17" s="16" t="s">
        <v>41</v>
      </c>
      <c r="G17" s="16" t="s">
        <v>40</v>
      </c>
      <c r="H17" s="16" t="s">
        <v>54</v>
      </c>
      <c r="I17" s="16" t="s">
        <v>55</v>
      </c>
      <c r="J17" s="15">
        <v>-2545882.2710000002</v>
      </c>
      <c r="K17" s="15">
        <v>-45882.271000000001</v>
      </c>
      <c r="L17" s="15">
        <v>-1169507.3</v>
      </c>
      <c r="M17" s="15">
        <f t="shared" si="0"/>
        <v>-1376374.9710000001</v>
      </c>
      <c r="N17" s="15">
        <v>-1376374.97</v>
      </c>
      <c r="O17" s="15">
        <f t="shared" si="1"/>
        <v>-1376374.97</v>
      </c>
      <c r="P17" s="36">
        <v>0</v>
      </c>
      <c r="Q17" s="15">
        <f t="shared" si="2"/>
        <v>-1376374.97</v>
      </c>
      <c r="R17" s="36"/>
      <c r="S17" s="15"/>
    </row>
    <row r="18" spans="1:19" x14ac:dyDescent="0.25">
      <c r="A18" s="16" t="s">
        <v>37</v>
      </c>
      <c r="B18" s="16" t="s">
        <v>38</v>
      </c>
      <c r="C18" s="16" t="s">
        <v>38</v>
      </c>
      <c r="D18" s="16" t="s">
        <v>38</v>
      </c>
      <c r="E18" s="16" t="s">
        <v>38</v>
      </c>
      <c r="F18" s="16" t="s">
        <v>41</v>
      </c>
      <c r="G18" s="16" t="s">
        <v>40</v>
      </c>
      <c r="H18" s="16" t="s">
        <v>56</v>
      </c>
      <c r="I18" s="16" t="s">
        <v>57</v>
      </c>
      <c r="J18" s="15">
        <v>-166666.99989000001</v>
      </c>
      <c r="K18" s="15">
        <v>-166667</v>
      </c>
      <c r="L18" s="15">
        <v>-96920</v>
      </c>
      <c r="M18" s="15">
        <f t="shared" si="0"/>
        <v>-69746.999890000006</v>
      </c>
      <c r="N18" s="15">
        <v>0</v>
      </c>
      <c r="O18" s="15">
        <f t="shared" si="1"/>
        <v>0</v>
      </c>
      <c r="P18" s="36">
        <v>0</v>
      </c>
      <c r="Q18" s="15">
        <f t="shared" si="2"/>
        <v>0</v>
      </c>
      <c r="R18" s="36"/>
      <c r="S18" s="15"/>
    </row>
    <row r="19" spans="1:19" x14ac:dyDescent="0.25">
      <c r="A19" s="16" t="s">
        <v>37</v>
      </c>
      <c r="B19" s="16" t="s">
        <v>38</v>
      </c>
      <c r="C19" s="16" t="s">
        <v>38</v>
      </c>
      <c r="D19" s="16" t="s">
        <v>38</v>
      </c>
      <c r="E19" s="16" t="s">
        <v>38</v>
      </c>
      <c r="F19" s="16" t="s">
        <v>41</v>
      </c>
      <c r="G19" s="16" t="s">
        <v>40</v>
      </c>
      <c r="H19" s="16" t="s">
        <v>58</v>
      </c>
      <c r="I19" s="16" t="s">
        <v>59</v>
      </c>
      <c r="J19" s="15">
        <v>-307367</v>
      </c>
      <c r="K19" s="15">
        <v>0</v>
      </c>
      <c r="L19" s="15">
        <v>-8988</v>
      </c>
      <c r="M19" s="15">
        <f t="shared" si="0"/>
        <v>-298379</v>
      </c>
      <c r="N19" s="15">
        <v>-298379</v>
      </c>
      <c r="O19" s="15">
        <f t="shared" si="1"/>
        <v>8988</v>
      </c>
      <c r="P19" s="36">
        <v>-307367</v>
      </c>
      <c r="Q19" s="15">
        <f t="shared" si="2"/>
        <v>-298379</v>
      </c>
      <c r="R19" s="36"/>
      <c r="S19" s="15"/>
    </row>
    <row r="20" spans="1:19" x14ac:dyDescent="0.25">
      <c r="A20" s="16" t="s">
        <v>37</v>
      </c>
      <c r="B20" s="16" t="s">
        <v>38</v>
      </c>
      <c r="C20" s="16" t="s">
        <v>38</v>
      </c>
      <c r="D20" s="16" t="s">
        <v>38</v>
      </c>
      <c r="E20" s="16" t="s">
        <v>38</v>
      </c>
      <c r="F20" s="16" t="s">
        <v>41</v>
      </c>
      <c r="G20" s="16" t="s">
        <v>40</v>
      </c>
      <c r="H20" s="16" t="s">
        <v>60</v>
      </c>
      <c r="I20" s="16" t="s">
        <v>61</v>
      </c>
      <c r="J20" s="15">
        <v>-4194</v>
      </c>
      <c r="K20" s="15">
        <v>-4194</v>
      </c>
      <c r="L20" s="15">
        <v>0</v>
      </c>
      <c r="M20" s="15">
        <f t="shared" si="0"/>
        <v>-4194</v>
      </c>
      <c r="N20" s="15">
        <v>-4194</v>
      </c>
      <c r="O20" s="15">
        <v>0</v>
      </c>
      <c r="P20" s="36">
        <v>0</v>
      </c>
      <c r="Q20" s="15">
        <f t="shared" si="2"/>
        <v>0</v>
      </c>
      <c r="R20" s="36"/>
      <c r="S20" s="15">
        <f>N20</f>
        <v>-4194</v>
      </c>
    </row>
    <row r="21" spans="1:19" x14ac:dyDescent="0.25">
      <c r="A21" s="16" t="s">
        <v>37</v>
      </c>
      <c r="B21" s="16" t="s">
        <v>38</v>
      </c>
      <c r="C21" s="16" t="s">
        <v>38</v>
      </c>
      <c r="D21" s="16" t="s">
        <v>38</v>
      </c>
      <c r="E21" s="16" t="s">
        <v>38</v>
      </c>
      <c r="F21" s="16" t="s">
        <v>41</v>
      </c>
      <c r="G21" s="16" t="s">
        <v>40</v>
      </c>
      <c r="H21" s="16" t="s">
        <v>62</v>
      </c>
      <c r="I21" s="16" t="s">
        <v>63</v>
      </c>
      <c r="J21" s="15">
        <v>-50000</v>
      </c>
      <c r="K21" s="15">
        <v>-50000</v>
      </c>
      <c r="L21" s="15">
        <v>-41125</v>
      </c>
      <c r="M21" s="15">
        <f t="shared" si="0"/>
        <v>-8875</v>
      </c>
      <c r="N21" s="15">
        <v>0</v>
      </c>
      <c r="O21" s="15">
        <f t="shared" ref="O21:O30" si="3">N21-P21</f>
        <v>0</v>
      </c>
      <c r="P21" s="36">
        <v>0</v>
      </c>
      <c r="Q21" s="15">
        <f t="shared" si="2"/>
        <v>0</v>
      </c>
      <c r="R21" s="36"/>
      <c r="S21" s="15">
        <v>-8875</v>
      </c>
    </row>
    <row r="22" spans="1:19" x14ac:dyDescent="0.25">
      <c r="A22" s="16" t="s">
        <v>37</v>
      </c>
      <c r="B22" s="16" t="s">
        <v>38</v>
      </c>
      <c r="C22" s="16" t="s">
        <v>38</v>
      </c>
      <c r="D22" s="16" t="s">
        <v>38</v>
      </c>
      <c r="E22" s="16" t="s">
        <v>38</v>
      </c>
      <c r="F22" s="16" t="s">
        <v>41</v>
      </c>
      <c r="G22" s="16" t="s">
        <v>40</v>
      </c>
      <c r="H22" s="16" t="s">
        <v>64</v>
      </c>
      <c r="I22" s="16" t="s">
        <v>65</v>
      </c>
      <c r="J22" s="15">
        <v>-540000</v>
      </c>
      <c r="K22" s="15">
        <v>0</v>
      </c>
      <c r="L22" s="15">
        <v>-35564.000000000015</v>
      </c>
      <c r="M22" s="15">
        <f t="shared" si="0"/>
        <v>-504436</v>
      </c>
      <c r="N22" s="15">
        <v>-504436</v>
      </c>
      <c r="O22" s="15">
        <f t="shared" si="3"/>
        <v>-504436</v>
      </c>
      <c r="P22" s="36">
        <v>0</v>
      </c>
      <c r="Q22" s="15">
        <f t="shared" si="2"/>
        <v>-504436</v>
      </c>
      <c r="R22" s="36"/>
      <c r="S22" s="15"/>
    </row>
    <row r="23" spans="1:19" x14ac:dyDescent="0.25">
      <c r="A23" s="16" t="s">
        <v>37</v>
      </c>
      <c r="B23" s="16" t="s">
        <v>38</v>
      </c>
      <c r="C23" s="16" t="s">
        <v>38</v>
      </c>
      <c r="D23" s="16" t="s">
        <v>38</v>
      </c>
      <c r="E23" s="16" t="s">
        <v>38</v>
      </c>
      <c r="F23" s="16" t="s">
        <v>41</v>
      </c>
      <c r="G23" s="16" t="s">
        <v>40</v>
      </c>
      <c r="H23" s="16" t="s">
        <v>66</v>
      </c>
      <c r="I23" s="16" t="s">
        <v>63</v>
      </c>
      <c r="J23" s="15">
        <v>-1284527.18</v>
      </c>
      <c r="K23" s="15">
        <v>-1284527.18</v>
      </c>
      <c r="L23" s="15">
        <v>-1284527.1800000002</v>
      </c>
      <c r="M23" s="15">
        <f t="shared" si="0"/>
        <v>0</v>
      </c>
      <c r="N23" s="15">
        <v>0</v>
      </c>
      <c r="O23" s="15">
        <f t="shared" si="3"/>
        <v>0</v>
      </c>
      <c r="P23" s="36">
        <v>0</v>
      </c>
      <c r="Q23" s="15">
        <f t="shared" si="2"/>
        <v>0</v>
      </c>
      <c r="R23" s="36"/>
      <c r="S23" s="15"/>
    </row>
    <row r="24" spans="1:19" x14ac:dyDescent="0.25">
      <c r="A24" s="16" t="s">
        <v>37</v>
      </c>
      <c r="B24" s="16" t="s">
        <v>38</v>
      </c>
      <c r="C24" s="16"/>
      <c r="D24" s="16" t="s">
        <v>38</v>
      </c>
      <c r="E24" s="16" t="s">
        <v>38</v>
      </c>
      <c r="F24" s="16" t="s">
        <v>41</v>
      </c>
      <c r="G24" s="16" t="s">
        <v>40</v>
      </c>
      <c r="H24" s="16" t="s">
        <v>67</v>
      </c>
      <c r="I24" s="16" t="s">
        <v>68</v>
      </c>
      <c r="J24" s="15">
        <v>-300000</v>
      </c>
      <c r="K24" s="15">
        <v>0</v>
      </c>
      <c r="L24" s="15">
        <v>-42724</v>
      </c>
      <c r="M24" s="15">
        <f t="shared" si="0"/>
        <v>-257276</v>
      </c>
      <c r="N24" s="15">
        <v>-257276</v>
      </c>
      <c r="O24" s="15">
        <f t="shared" si="3"/>
        <v>-257276</v>
      </c>
      <c r="P24" s="36">
        <v>0</v>
      </c>
      <c r="Q24" s="15">
        <f t="shared" si="2"/>
        <v>-257276</v>
      </c>
      <c r="R24" s="36"/>
      <c r="S24" s="15"/>
    </row>
    <row r="25" spans="1:19" x14ac:dyDescent="0.25">
      <c r="A25" s="16" t="s">
        <v>37</v>
      </c>
      <c r="B25" s="16" t="s">
        <v>38</v>
      </c>
      <c r="C25" s="16" t="s">
        <v>38</v>
      </c>
      <c r="D25" s="16" t="s">
        <v>38</v>
      </c>
      <c r="E25" s="16" t="s">
        <v>38</v>
      </c>
      <c r="F25" s="16" t="s">
        <v>41</v>
      </c>
      <c r="G25" s="16" t="s">
        <v>40</v>
      </c>
      <c r="H25" s="16" t="s">
        <v>69</v>
      </c>
      <c r="I25" s="16" t="s">
        <v>70</v>
      </c>
      <c r="J25" s="15">
        <v>-231920</v>
      </c>
      <c r="K25" s="15">
        <v>-231920</v>
      </c>
      <c r="L25" s="15">
        <v>-150030.17000000001</v>
      </c>
      <c r="M25" s="15">
        <f t="shared" si="0"/>
        <v>-81889.829999999987</v>
      </c>
      <c r="N25" s="15">
        <v>0</v>
      </c>
      <c r="O25" s="15">
        <f t="shared" si="3"/>
        <v>0</v>
      </c>
      <c r="P25" s="36">
        <v>0</v>
      </c>
      <c r="Q25" s="15">
        <f t="shared" si="2"/>
        <v>0</v>
      </c>
      <c r="R25" s="36"/>
      <c r="S25" s="15">
        <f>M25</f>
        <v>-81889.829999999987</v>
      </c>
    </row>
    <row r="26" spans="1:19" x14ac:dyDescent="0.25">
      <c r="A26" s="16" t="s">
        <v>37</v>
      </c>
      <c r="B26" s="16" t="s">
        <v>38</v>
      </c>
      <c r="C26" s="16" t="s">
        <v>38</v>
      </c>
      <c r="D26" s="16" t="s">
        <v>38</v>
      </c>
      <c r="E26" s="16" t="s">
        <v>38</v>
      </c>
      <c r="F26" s="16" t="s">
        <v>41</v>
      </c>
      <c r="G26" s="16" t="s">
        <v>40</v>
      </c>
      <c r="H26" s="16" t="s">
        <v>71</v>
      </c>
      <c r="I26" s="16" t="s">
        <v>72</v>
      </c>
      <c r="J26" s="15">
        <v>-18000</v>
      </c>
      <c r="K26" s="15">
        <v>0</v>
      </c>
      <c r="L26" s="15">
        <v>0</v>
      </c>
      <c r="M26" s="15">
        <f t="shared" si="0"/>
        <v>-18000</v>
      </c>
      <c r="N26" s="15">
        <v>-18000</v>
      </c>
      <c r="O26" s="15">
        <f t="shared" si="3"/>
        <v>0</v>
      </c>
      <c r="P26" s="36">
        <v>-18000</v>
      </c>
      <c r="Q26" s="15">
        <f t="shared" si="2"/>
        <v>-18000</v>
      </c>
      <c r="R26" s="36"/>
      <c r="S26" s="15"/>
    </row>
    <row r="27" spans="1:19" x14ac:dyDescent="0.25">
      <c r="A27" s="16" t="s">
        <v>37</v>
      </c>
      <c r="B27" s="16" t="s">
        <v>38</v>
      </c>
      <c r="C27" s="16" t="s">
        <v>38</v>
      </c>
      <c r="D27" s="16" t="s">
        <v>38</v>
      </c>
      <c r="E27" s="16" t="s">
        <v>38</v>
      </c>
      <c r="F27" s="16" t="s">
        <v>41</v>
      </c>
      <c r="G27" s="16" t="s">
        <v>40</v>
      </c>
      <c r="H27" s="16" t="s">
        <v>73</v>
      </c>
      <c r="I27" s="16" t="s">
        <v>74</v>
      </c>
      <c r="J27" s="15">
        <v>-656103.94999999995</v>
      </c>
      <c r="K27" s="15">
        <v>-656103.94999999995</v>
      </c>
      <c r="L27" s="15">
        <v>-656103.94999999995</v>
      </c>
      <c r="M27" s="15">
        <f t="shared" si="0"/>
        <v>0</v>
      </c>
      <c r="N27" s="15">
        <v>0</v>
      </c>
      <c r="O27" s="15">
        <f t="shared" si="3"/>
        <v>0</v>
      </c>
      <c r="P27" s="36">
        <v>0</v>
      </c>
      <c r="Q27" s="15">
        <f t="shared" si="2"/>
        <v>0</v>
      </c>
      <c r="R27" s="36"/>
      <c r="S27" s="15"/>
    </row>
    <row r="28" spans="1:19" x14ac:dyDescent="0.25">
      <c r="A28" s="16" t="s">
        <v>37</v>
      </c>
      <c r="B28" s="16" t="s">
        <v>38</v>
      </c>
      <c r="C28" s="16" t="s">
        <v>38</v>
      </c>
      <c r="D28" s="16" t="s">
        <v>38</v>
      </c>
      <c r="E28" s="16" t="s">
        <v>38</v>
      </c>
      <c r="F28" s="16" t="s">
        <v>41</v>
      </c>
      <c r="G28" s="16" t="s">
        <v>40</v>
      </c>
      <c r="H28" s="16" t="s">
        <v>75</v>
      </c>
      <c r="I28" s="16" t="s">
        <v>76</v>
      </c>
      <c r="J28" s="15">
        <v>-758684</v>
      </c>
      <c r="K28" s="15">
        <v>0</v>
      </c>
      <c r="L28" s="15">
        <v>-758684</v>
      </c>
      <c r="M28" s="15">
        <f t="shared" si="0"/>
        <v>0</v>
      </c>
      <c r="N28" s="15">
        <v>0</v>
      </c>
      <c r="O28" s="15">
        <f t="shared" si="3"/>
        <v>0</v>
      </c>
      <c r="P28" s="36">
        <v>0</v>
      </c>
      <c r="Q28" s="15">
        <f t="shared" si="2"/>
        <v>0</v>
      </c>
      <c r="R28" s="36"/>
      <c r="S28" s="15"/>
    </row>
    <row r="29" spans="1:19" x14ac:dyDescent="0.25">
      <c r="A29" s="16" t="s">
        <v>37</v>
      </c>
      <c r="B29" s="16" t="s">
        <v>38</v>
      </c>
      <c r="C29" s="16" t="s">
        <v>38</v>
      </c>
      <c r="D29" s="16" t="s">
        <v>38</v>
      </c>
      <c r="E29" s="16" t="s">
        <v>38</v>
      </c>
      <c r="F29" s="16" t="s">
        <v>41</v>
      </c>
      <c r="G29" s="16" t="s">
        <v>40</v>
      </c>
      <c r="H29" s="16" t="s">
        <v>77</v>
      </c>
      <c r="I29" s="16" t="s">
        <v>78</v>
      </c>
      <c r="J29" s="15">
        <v>-382000</v>
      </c>
      <c r="K29" s="15">
        <v>0</v>
      </c>
      <c r="L29" s="15">
        <v>-102870.6</v>
      </c>
      <c r="M29" s="15">
        <f t="shared" si="0"/>
        <v>-279129.40000000002</v>
      </c>
      <c r="N29" s="15">
        <v>-279129.40000000002</v>
      </c>
      <c r="O29" s="15">
        <f t="shared" si="3"/>
        <v>-0.40000000002328306</v>
      </c>
      <c r="P29" s="36">
        <v>-279129</v>
      </c>
      <c r="Q29" s="15">
        <f t="shared" si="2"/>
        <v>-279129.40000000002</v>
      </c>
      <c r="R29" s="36"/>
      <c r="S29" s="15"/>
    </row>
    <row r="30" spans="1:19" x14ac:dyDescent="0.25">
      <c r="A30" s="16" t="s">
        <v>37</v>
      </c>
      <c r="B30" s="16" t="s">
        <v>38</v>
      </c>
      <c r="C30" s="16" t="s">
        <v>38</v>
      </c>
      <c r="D30" s="16" t="s">
        <v>38</v>
      </c>
      <c r="E30" s="16" t="s">
        <v>38</v>
      </c>
      <c r="F30" s="16" t="s">
        <v>41</v>
      </c>
      <c r="G30" s="16" t="s">
        <v>40</v>
      </c>
      <c r="H30" s="16" t="s">
        <v>79</v>
      </c>
      <c r="I30" s="16" t="s">
        <v>80</v>
      </c>
      <c r="J30" s="15">
        <v>-790000.00019000005</v>
      </c>
      <c r="K30" s="15">
        <v>0</v>
      </c>
      <c r="L30" s="15">
        <v>-157093.4</v>
      </c>
      <c r="M30" s="15">
        <f t="shared" si="0"/>
        <v>-632906.60019000003</v>
      </c>
      <c r="N30" s="15">
        <v>-632906.6</v>
      </c>
      <c r="O30" s="15">
        <f t="shared" si="3"/>
        <v>-13199.599999999977</v>
      </c>
      <c r="P30" s="36">
        <v>-619707</v>
      </c>
      <c r="Q30" s="15">
        <f t="shared" si="2"/>
        <v>-632906.6</v>
      </c>
      <c r="R30" s="36"/>
      <c r="S30" s="15"/>
    </row>
    <row r="31" spans="1:19" x14ac:dyDescent="0.25">
      <c r="A31" s="16" t="s">
        <v>37</v>
      </c>
      <c r="B31" s="16" t="s">
        <v>81</v>
      </c>
      <c r="C31" s="16" t="s">
        <v>82</v>
      </c>
      <c r="D31" s="16" t="s">
        <v>83</v>
      </c>
      <c r="E31" s="16" t="s">
        <v>84</v>
      </c>
      <c r="F31" s="16" t="s">
        <v>85</v>
      </c>
      <c r="G31" s="16" t="s">
        <v>40</v>
      </c>
      <c r="H31" s="16" t="s">
        <v>38</v>
      </c>
      <c r="I31" s="16" t="s">
        <v>38</v>
      </c>
      <c r="J31" s="15">
        <v>-11020.499999946487</v>
      </c>
      <c r="K31" s="15">
        <v>0</v>
      </c>
      <c r="L31" s="15">
        <v>-8162.5</v>
      </c>
      <c r="M31" s="15">
        <f t="shared" si="0"/>
        <v>-2857.9999999464872</v>
      </c>
      <c r="N31" s="15">
        <v>-2857.9999999464872</v>
      </c>
      <c r="O31" s="15">
        <v>0</v>
      </c>
      <c r="P31" s="36">
        <v>0</v>
      </c>
      <c r="Q31" s="15">
        <f t="shared" si="2"/>
        <v>0</v>
      </c>
      <c r="R31" s="36"/>
      <c r="S31" s="15"/>
    </row>
    <row r="32" spans="1:19" x14ac:dyDescent="0.25">
      <c r="A32" s="16" t="s">
        <v>37</v>
      </c>
      <c r="B32" s="16" t="s">
        <v>81</v>
      </c>
      <c r="C32" s="16" t="s">
        <v>82</v>
      </c>
      <c r="D32" s="16" t="s">
        <v>86</v>
      </c>
      <c r="E32" s="16" t="s">
        <v>87</v>
      </c>
      <c r="F32" s="16" t="s">
        <v>85</v>
      </c>
      <c r="G32" s="16" t="s">
        <v>40</v>
      </c>
      <c r="H32" s="16" t="s">
        <v>38</v>
      </c>
      <c r="I32" s="16" t="s">
        <v>38</v>
      </c>
      <c r="J32" s="15">
        <v>-51073.749999578627</v>
      </c>
      <c r="K32" s="15">
        <v>0</v>
      </c>
      <c r="L32" s="15">
        <v>-28568.75</v>
      </c>
      <c r="M32" s="15">
        <f t="shared" si="0"/>
        <v>-22504.999999578627</v>
      </c>
      <c r="N32" s="15">
        <v>-22504.999999578627</v>
      </c>
      <c r="O32" s="15">
        <v>0</v>
      </c>
      <c r="P32" s="36">
        <v>0</v>
      </c>
      <c r="Q32" s="15">
        <f t="shared" si="2"/>
        <v>0</v>
      </c>
      <c r="R32" s="36"/>
      <c r="S32" s="15"/>
    </row>
    <row r="33" spans="1:19" x14ac:dyDescent="0.25">
      <c r="A33" s="16" t="s">
        <v>37</v>
      </c>
      <c r="B33" s="16" t="s">
        <v>81</v>
      </c>
      <c r="C33" s="16" t="s">
        <v>82</v>
      </c>
      <c r="D33" s="16" t="s">
        <v>88</v>
      </c>
      <c r="E33" s="16" t="s">
        <v>89</v>
      </c>
      <c r="F33" s="16" t="s">
        <v>85</v>
      </c>
      <c r="G33" s="16" t="s">
        <v>40</v>
      </c>
      <c r="H33" s="16" t="s">
        <v>38</v>
      </c>
      <c r="I33" s="16" t="s">
        <v>38</v>
      </c>
      <c r="J33" s="15">
        <v>-8632.2499999147876</v>
      </c>
      <c r="K33" s="15">
        <v>0</v>
      </c>
      <c r="L33" s="15">
        <v>-4081.25</v>
      </c>
      <c r="M33" s="15">
        <f t="shared" si="0"/>
        <v>-4550.9999999147876</v>
      </c>
      <c r="N33" s="15">
        <v>-4550.9999999147876</v>
      </c>
      <c r="O33" s="15">
        <v>0</v>
      </c>
      <c r="P33" s="36">
        <v>0</v>
      </c>
      <c r="Q33" s="15">
        <f t="shared" si="2"/>
        <v>0</v>
      </c>
      <c r="R33" s="36"/>
      <c r="S33" s="15"/>
    </row>
    <row r="34" spans="1:19" x14ac:dyDescent="0.25">
      <c r="A34" s="16" t="s">
        <v>37</v>
      </c>
      <c r="B34" s="16" t="s">
        <v>81</v>
      </c>
      <c r="C34" s="16" t="s">
        <v>82</v>
      </c>
      <c r="D34" s="16" t="s">
        <v>90</v>
      </c>
      <c r="E34" s="16" t="s">
        <v>91</v>
      </c>
      <c r="F34" s="16" t="s">
        <v>85</v>
      </c>
      <c r="G34" s="16" t="s">
        <v>40</v>
      </c>
      <c r="H34" s="16" t="s">
        <v>38</v>
      </c>
      <c r="I34" s="16" t="s">
        <v>38</v>
      </c>
      <c r="J34" s="15">
        <v>-5022.2499999823813</v>
      </c>
      <c r="K34" s="15">
        <v>0</v>
      </c>
      <c r="L34" s="15">
        <v>-4081.25</v>
      </c>
      <c r="M34" s="15">
        <f t="shared" si="0"/>
        <v>-940.99999998238127</v>
      </c>
      <c r="N34" s="15">
        <v>-940.99999998238081</v>
      </c>
      <c r="O34" s="15">
        <v>0</v>
      </c>
      <c r="P34" s="36">
        <v>0</v>
      </c>
      <c r="Q34" s="15">
        <f t="shared" si="2"/>
        <v>0</v>
      </c>
      <c r="R34" s="36"/>
      <c r="S34" s="15"/>
    </row>
    <row r="35" spans="1:19" x14ac:dyDescent="0.25">
      <c r="A35" s="16" t="s">
        <v>37</v>
      </c>
      <c r="B35" s="16" t="s">
        <v>81</v>
      </c>
      <c r="C35" s="16" t="s">
        <v>82</v>
      </c>
      <c r="D35" s="16" t="s">
        <v>92</v>
      </c>
      <c r="E35" s="16" t="s">
        <v>93</v>
      </c>
      <c r="F35" s="16" t="s">
        <v>85</v>
      </c>
      <c r="G35" s="16" t="s">
        <v>40</v>
      </c>
      <c r="H35" s="16" t="s">
        <v>38</v>
      </c>
      <c r="I35" s="16" t="s">
        <v>38</v>
      </c>
      <c r="J35" s="15">
        <v>-2814.9999999472921</v>
      </c>
      <c r="K35" s="15">
        <v>0</v>
      </c>
      <c r="L35" s="15">
        <v>0</v>
      </c>
      <c r="M35" s="15">
        <f t="shared" si="0"/>
        <v>-2814.9999999472921</v>
      </c>
      <c r="N35" s="15">
        <v>-2814.9999999472921</v>
      </c>
      <c r="O35" s="15">
        <v>0</v>
      </c>
      <c r="P35" s="36">
        <v>0</v>
      </c>
      <c r="Q35" s="15">
        <f t="shared" si="2"/>
        <v>0</v>
      </c>
      <c r="R35" s="36"/>
      <c r="S35" s="15"/>
    </row>
    <row r="36" spans="1:19" x14ac:dyDescent="0.25">
      <c r="A36" s="16" t="s">
        <v>37</v>
      </c>
      <c r="B36" s="16" t="s">
        <v>81</v>
      </c>
      <c r="C36" s="16" t="s">
        <v>82</v>
      </c>
      <c r="D36" s="16" t="s">
        <v>94</v>
      </c>
      <c r="E36" s="16" t="s">
        <v>95</v>
      </c>
      <c r="F36" s="16" t="s">
        <v>85</v>
      </c>
      <c r="G36" s="16" t="s">
        <v>40</v>
      </c>
      <c r="H36" s="16" t="s">
        <v>38</v>
      </c>
      <c r="I36" s="16" t="s">
        <v>38</v>
      </c>
      <c r="J36" s="15">
        <v>-40936.249999309934</v>
      </c>
      <c r="K36" s="15">
        <v>0</v>
      </c>
      <c r="L36" s="15">
        <v>-4081.25</v>
      </c>
      <c r="M36" s="15">
        <f t="shared" si="0"/>
        <v>-36854.999999309934</v>
      </c>
      <c r="N36" s="15">
        <v>-36854.999999309934</v>
      </c>
      <c r="O36" s="15">
        <v>0</v>
      </c>
      <c r="P36" s="36">
        <v>0</v>
      </c>
      <c r="Q36" s="15">
        <f t="shared" si="2"/>
        <v>0</v>
      </c>
      <c r="R36" s="36"/>
      <c r="S36" s="15"/>
    </row>
    <row r="37" spans="1:19" x14ac:dyDescent="0.25">
      <c r="A37" s="16" t="s">
        <v>37</v>
      </c>
      <c r="B37" s="16" t="s">
        <v>81</v>
      </c>
      <c r="C37" s="16" t="s">
        <v>82</v>
      </c>
      <c r="D37" s="16" t="s">
        <v>96</v>
      </c>
      <c r="E37" s="16" t="s">
        <v>97</v>
      </c>
      <c r="F37" s="16" t="s">
        <v>85</v>
      </c>
      <c r="G37" s="16" t="s">
        <v>40</v>
      </c>
      <c r="H37" s="16" t="s">
        <v>38</v>
      </c>
      <c r="I37" s="16" t="s">
        <v>38</v>
      </c>
      <c r="J37" s="15">
        <v>-5358.2499999760903</v>
      </c>
      <c r="K37" s="15">
        <v>0</v>
      </c>
      <c r="L37" s="15">
        <v>-4081.25</v>
      </c>
      <c r="M37" s="15">
        <f t="shared" si="0"/>
        <v>-1276.9999999760903</v>
      </c>
      <c r="N37" s="15">
        <v>-1276.9999999760903</v>
      </c>
      <c r="O37" s="15">
        <v>0</v>
      </c>
      <c r="P37" s="36">
        <v>0</v>
      </c>
      <c r="Q37" s="15">
        <f t="shared" si="2"/>
        <v>0</v>
      </c>
      <c r="R37" s="36"/>
      <c r="S37" s="15"/>
    </row>
    <row r="38" spans="1:19" x14ac:dyDescent="0.25">
      <c r="A38" s="16" t="s">
        <v>37</v>
      </c>
      <c r="B38" s="16" t="s">
        <v>81</v>
      </c>
      <c r="C38" s="16" t="s">
        <v>82</v>
      </c>
      <c r="D38" s="16" t="s">
        <v>98</v>
      </c>
      <c r="E38" s="16" t="s">
        <v>99</v>
      </c>
      <c r="F38" s="16" t="s">
        <v>85</v>
      </c>
      <c r="G38" s="16" t="s">
        <v>40</v>
      </c>
      <c r="H38" s="16" t="s">
        <v>38</v>
      </c>
      <c r="I38" s="16" t="s">
        <v>38</v>
      </c>
      <c r="J38" s="15">
        <v>-5435.2499999746487</v>
      </c>
      <c r="K38" s="15">
        <v>0</v>
      </c>
      <c r="L38" s="15">
        <v>-4081.25</v>
      </c>
      <c r="M38" s="15">
        <f t="shared" si="0"/>
        <v>-1353.9999999746487</v>
      </c>
      <c r="N38" s="15">
        <v>-1353.9999999746483</v>
      </c>
      <c r="O38" s="15">
        <v>0</v>
      </c>
      <c r="P38" s="36">
        <v>0</v>
      </c>
      <c r="Q38" s="15">
        <f t="shared" si="2"/>
        <v>0</v>
      </c>
      <c r="R38" s="36"/>
      <c r="S38" s="15"/>
    </row>
    <row r="39" spans="1:19" x14ac:dyDescent="0.25">
      <c r="A39" s="16" t="s">
        <v>37</v>
      </c>
      <c r="B39" s="16" t="s">
        <v>100</v>
      </c>
      <c r="C39" s="16" t="s">
        <v>101</v>
      </c>
      <c r="D39" s="16" t="s">
        <v>102</v>
      </c>
      <c r="E39" s="16" t="s">
        <v>103</v>
      </c>
      <c r="F39" s="16" t="s">
        <v>85</v>
      </c>
      <c r="G39" s="16" t="s">
        <v>40</v>
      </c>
      <c r="H39" s="16" t="s">
        <v>130</v>
      </c>
      <c r="I39" s="16" t="s">
        <v>131</v>
      </c>
      <c r="J39" s="15"/>
      <c r="K39" s="15"/>
      <c r="L39" s="15"/>
      <c r="M39" s="15">
        <f t="shared" si="0"/>
        <v>0</v>
      </c>
      <c r="N39" s="15">
        <v>0</v>
      </c>
      <c r="O39" s="15">
        <f>N192+N202</f>
        <v>-541.61997955651509</v>
      </c>
      <c r="P39" s="36">
        <v>0</v>
      </c>
      <c r="Q39" s="15">
        <f t="shared" si="2"/>
        <v>-541.61997955651509</v>
      </c>
      <c r="R39" s="36"/>
      <c r="S39" s="15"/>
    </row>
    <row r="40" spans="1:19" x14ac:dyDescent="0.25">
      <c r="A40" s="16" t="s">
        <v>37</v>
      </c>
      <c r="B40" s="16" t="s">
        <v>100</v>
      </c>
      <c r="C40" s="16" t="s">
        <v>101</v>
      </c>
      <c r="D40" s="16" t="s">
        <v>102</v>
      </c>
      <c r="E40" s="16" t="s">
        <v>103</v>
      </c>
      <c r="F40" s="16" t="s">
        <v>85</v>
      </c>
      <c r="G40" s="16" t="s">
        <v>40</v>
      </c>
      <c r="H40" s="16" t="s">
        <v>64</v>
      </c>
      <c r="I40" s="16" t="s">
        <v>65</v>
      </c>
      <c r="J40" s="15"/>
      <c r="K40" s="15"/>
      <c r="L40" s="15"/>
      <c r="M40" s="15">
        <f t="shared" si="0"/>
        <v>0</v>
      </c>
      <c r="N40" s="15">
        <v>0</v>
      </c>
      <c r="O40" s="15">
        <f>N196+N206</f>
        <v>-403300.54898752522</v>
      </c>
      <c r="P40" s="36">
        <v>0</v>
      </c>
      <c r="Q40" s="15">
        <f t="shared" si="2"/>
        <v>-403300.54898752522</v>
      </c>
      <c r="R40" s="36"/>
      <c r="S40" s="15"/>
    </row>
    <row r="41" spans="1:19" x14ac:dyDescent="0.25">
      <c r="A41" s="16" t="s">
        <v>37</v>
      </c>
      <c r="B41" s="16" t="s">
        <v>100</v>
      </c>
      <c r="C41" s="16" t="s">
        <v>101</v>
      </c>
      <c r="D41" s="16" t="s">
        <v>102</v>
      </c>
      <c r="E41" s="16" t="s">
        <v>103</v>
      </c>
      <c r="F41" s="16" t="s">
        <v>85</v>
      </c>
      <c r="G41" s="16" t="s">
        <v>40</v>
      </c>
      <c r="H41" s="16" t="s">
        <v>67</v>
      </c>
      <c r="I41" s="16" t="s">
        <v>68</v>
      </c>
      <c r="J41" s="15"/>
      <c r="K41" s="15"/>
      <c r="L41" s="15"/>
      <c r="M41" s="15">
        <f t="shared" ref="M41" si="4">J41-L41</f>
        <v>0</v>
      </c>
      <c r="N41" s="15">
        <v>0</v>
      </c>
      <c r="O41" s="15">
        <v>-3025</v>
      </c>
      <c r="P41" s="36">
        <v>0</v>
      </c>
      <c r="Q41" s="15">
        <f t="shared" ref="Q41" si="5">O41+P41</f>
        <v>-3025</v>
      </c>
      <c r="R41" s="36"/>
      <c r="S41" s="15"/>
    </row>
    <row r="42" spans="1:19" x14ac:dyDescent="0.25">
      <c r="A42" s="16" t="s">
        <v>37</v>
      </c>
      <c r="B42" s="16" t="s">
        <v>100</v>
      </c>
      <c r="C42" s="16" t="s">
        <v>101</v>
      </c>
      <c r="D42" s="16" t="s">
        <v>102</v>
      </c>
      <c r="E42" s="16" t="s">
        <v>103</v>
      </c>
      <c r="F42" s="16" t="s">
        <v>85</v>
      </c>
      <c r="G42" s="16" t="s">
        <v>40</v>
      </c>
      <c r="H42" s="16"/>
      <c r="I42" s="16"/>
      <c r="J42" s="15"/>
      <c r="K42" s="15"/>
      <c r="L42" s="15"/>
      <c r="M42" s="15">
        <f t="shared" si="0"/>
        <v>0</v>
      </c>
      <c r="N42" s="15">
        <v>0</v>
      </c>
      <c r="O42" s="15">
        <f>N31+N32+N33+N34+N35+N36+N37+N38+N248+N249+N250+N251+N201-67557-4017+541.62+403300.55+3025</f>
        <v>-83192.829424708325</v>
      </c>
      <c r="P42" s="36">
        <v>0</v>
      </c>
      <c r="Q42" s="15">
        <f t="shared" si="2"/>
        <v>-83192.829424708325</v>
      </c>
      <c r="R42" s="36"/>
      <c r="S42" s="15"/>
    </row>
    <row r="43" spans="1:19" x14ac:dyDescent="0.25">
      <c r="A43" s="16" t="s">
        <v>37</v>
      </c>
      <c r="B43" s="16" t="s">
        <v>104</v>
      </c>
      <c r="C43" s="16" t="s">
        <v>105</v>
      </c>
      <c r="D43" s="16" t="s">
        <v>106</v>
      </c>
      <c r="E43" s="16" t="s">
        <v>107</v>
      </c>
      <c r="F43" s="16" t="s">
        <v>85</v>
      </c>
      <c r="G43" s="16" t="s">
        <v>40</v>
      </c>
      <c r="H43" s="16" t="s">
        <v>38</v>
      </c>
      <c r="I43" s="16" t="s">
        <v>38</v>
      </c>
      <c r="J43" s="15">
        <v>-236666.4372855832</v>
      </c>
      <c r="K43" s="15">
        <v>-55094.527000000002</v>
      </c>
      <c r="L43" s="15">
        <v>-229263.06495331804</v>
      </c>
      <c r="M43" s="15">
        <f t="shared" si="0"/>
        <v>-7403.372332265164</v>
      </c>
      <c r="N43" s="15">
        <v>-7403.37</v>
      </c>
      <c r="O43" s="15">
        <f t="shared" ref="O43:O74" si="6">N43-P43</f>
        <v>-7403.37</v>
      </c>
      <c r="P43" s="36">
        <v>0</v>
      </c>
      <c r="Q43" s="15">
        <f t="shared" si="2"/>
        <v>-7403.37</v>
      </c>
      <c r="R43" s="36"/>
      <c r="S43" s="15"/>
    </row>
    <row r="44" spans="1:19" x14ac:dyDescent="0.25">
      <c r="A44" s="16" t="s">
        <v>37</v>
      </c>
      <c r="B44" s="16" t="s">
        <v>104</v>
      </c>
      <c r="C44" s="16" t="s">
        <v>105</v>
      </c>
      <c r="D44" s="16" t="s">
        <v>106</v>
      </c>
      <c r="E44" s="16" t="s">
        <v>107</v>
      </c>
      <c r="F44" s="16" t="s">
        <v>85</v>
      </c>
      <c r="G44" s="16" t="s">
        <v>40</v>
      </c>
      <c r="H44" s="16" t="s">
        <v>62</v>
      </c>
      <c r="I44" s="16" t="s">
        <v>63</v>
      </c>
      <c r="J44" s="15">
        <v>-5327.4690000000001</v>
      </c>
      <c r="K44" s="15">
        <v>-5327.4690000000001</v>
      </c>
      <c r="L44" s="15">
        <v>-5327.4699927899983</v>
      </c>
      <c r="M44" s="15">
        <f t="shared" si="0"/>
        <v>9.9278999823582126E-4</v>
      </c>
      <c r="N44" s="15">
        <v>0</v>
      </c>
      <c r="O44" s="15">
        <f t="shared" si="6"/>
        <v>0</v>
      </c>
      <c r="P44" s="36">
        <v>0</v>
      </c>
      <c r="Q44" s="15">
        <f t="shared" si="2"/>
        <v>0</v>
      </c>
      <c r="R44" s="36"/>
      <c r="S44" s="15"/>
    </row>
    <row r="45" spans="1:19" x14ac:dyDescent="0.25">
      <c r="A45" s="16" t="s">
        <v>37</v>
      </c>
      <c r="B45" s="16" t="s">
        <v>104</v>
      </c>
      <c r="C45" s="16" t="s">
        <v>105</v>
      </c>
      <c r="D45" s="16" t="s">
        <v>106</v>
      </c>
      <c r="E45" s="16" t="s">
        <v>107</v>
      </c>
      <c r="F45" s="16" t="s">
        <v>85</v>
      </c>
      <c r="G45" s="16" t="s">
        <v>40</v>
      </c>
      <c r="H45" s="16" t="s">
        <v>108</v>
      </c>
      <c r="I45" s="16" t="s">
        <v>109</v>
      </c>
      <c r="J45" s="15">
        <v>-80112.56</v>
      </c>
      <c r="K45" s="15">
        <v>-80112.56</v>
      </c>
      <c r="L45" s="15">
        <v>0</v>
      </c>
      <c r="M45" s="15">
        <f t="shared" si="0"/>
        <v>-80112.56</v>
      </c>
      <c r="N45" s="15">
        <v>0</v>
      </c>
      <c r="O45" s="15">
        <f t="shared" si="6"/>
        <v>0</v>
      </c>
      <c r="P45" s="36">
        <v>0</v>
      </c>
      <c r="Q45" s="15">
        <f t="shared" si="2"/>
        <v>0</v>
      </c>
      <c r="R45" s="36"/>
      <c r="S45" s="15">
        <f>M45</f>
        <v>-80112.56</v>
      </c>
    </row>
    <row r="46" spans="1:19" x14ac:dyDescent="0.25">
      <c r="A46" s="16" t="s">
        <v>37</v>
      </c>
      <c r="B46" s="16" t="s">
        <v>104</v>
      </c>
      <c r="C46" s="16" t="s">
        <v>105</v>
      </c>
      <c r="D46" s="16" t="s">
        <v>110</v>
      </c>
      <c r="E46" s="16" t="s">
        <v>111</v>
      </c>
      <c r="F46" s="16" t="s">
        <v>85</v>
      </c>
      <c r="G46" s="16" t="s">
        <v>40</v>
      </c>
      <c r="H46" s="16" t="s">
        <v>38</v>
      </c>
      <c r="I46" s="16" t="s">
        <v>38</v>
      </c>
      <c r="J46" s="15">
        <v>-79274.477113111352</v>
      </c>
      <c r="K46" s="15">
        <v>-17725.7346</v>
      </c>
      <c r="L46" s="15">
        <v>-82992.544467848027</v>
      </c>
      <c r="M46" s="15">
        <f t="shared" si="0"/>
        <v>3718.067354736675</v>
      </c>
      <c r="N46" s="15">
        <v>0</v>
      </c>
      <c r="O46" s="15">
        <f t="shared" si="6"/>
        <v>0</v>
      </c>
      <c r="P46" s="36">
        <v>0</v>
      </c>
      <c r="Q46" s="15">
        <f t="shared" si="2"/>
        <v>0</v>
      </c>
      <c r="R46" s="36"/>
      <c r="S46" s="15"/>
    </row>
    <row r="47" spans="1:19" x14ac:dyDescent="0.25">
      <c r="A47" s="16" t="s">
        <v>37</v>
      </c>
      <c r="B47" s="16" t="s">
        <v>104</v>
      </c>
      <c r="C47" s="16" t="s">
        <v>105</v>
      </c>
      <c r="D47" s="16" t="s">
        <v>110</v>
      </c>
      <c r="E47" s="16" t="s">
        <v>111</v>
      </c>
      <c r="F47" s="16" t="s">
        <v>85</v>
      </c>
      <c r="G47" s="16" t="s">
        <v>40</v>
      </c>
      <c r="H47" s="16" t="s">
        <v>62</v>
      </c>
      <c r="I47" s="16" t="s">
        <v>63</v>
      </c>
      <c r="J47" s="15">
        <v>-1396.521</v>
      </c>
      <c r="K47" s="15">
        <v>-1396.521</v>
      </c>
      <c r="L47" s="15">
        <v>-1396.5199981100013</v>
      </c>
      <c r="M47" s="15">
        <f t="shared" si="0"/>
        <v>-1.0018899986334873E-3</v>
      </c>
      <c r="N47" s="15">
        <v>0</v>
      </c>
      <c r="O47" s="15">
        <f t="shared" si="6"/>
        <v>0</v>
      </c>
      <c r="P47" s="36">
        <v>0</v>
      </c>
      <c r="Q47" s="15">
        <f t="shared" si="2"/>
        <v>0</v>
      </c>
      <c r="R47" s="36"/>
      <c r="S47" s="15"/>
    </row>
    <row r="48" spans="1:19" x14ac:dyDescent="0.25">
      <c r="A48" s="16" t="s">
        <v>37</v>
      </c>
      <c r="B48" s="16" t="s">
        <v>104</v>
      </c>
      <c r="C48" s="16" t="s">
        <v>105</v>
      </c>
      <c r="D48" s="16" t="s">
        <v>112</v>
      </c>
      <c r="E48" s="16" t="s">
        <v>113</v>
      </c>
      <c r="F48" s="16" t="s">
        <v>85</v>
      </c>
      <c r="G48" s="16" t="s">
        <v>40</v>
      </c>
      <c r="H48" s="16" t="s">
        <v>38</v>
      </c>
      <c r="I48" s="16" t="s">
        <v>38</v>
      </c>
      <c r="J48" s="15">
        <v>-80011.493778306962</v>
      </c>
      <c r="K48" s="15">
        <v>-23200.427800000001</v>
      </c>
      <c r="L48" s="15">
        <v>-97948.056482850254</v>
      </c>
      <c r="M48" s="15">
        <f t="shared" si="0"/>
        <v>17936.562704543292</v>
      </c>
      <c r="N48" s="15">
        <v>0</v>
      </c>
      <c r="O48" s="15">
        <f t="shared" si="6"/>
        <v>0</v>
      </c>
      <c r="P48" s="36">
        <v>0</v>
      </c>
      <c r="Q48" s="15">
        <f t="shared" si="2"/>
        <v>0</v>
      </c>
      <c r="R48" s="36"/>
      <c r="S48" s="15"/>
    </row>
    <row r="49" spans="1:19" x14ac:dyDescent="0.25">
      <c r="A49" s="16" t="s">
        <v>37</v>
      </c>
      <c r="B49" s="16" t="s">
        <v>104</v>
      </c>
      <c r="C49" s="16" t="s">
        <v>105</v>
      </c>
      <c r="D49" s="16" t="s">
        <v>112</v>
      </c>
      <c r="E49" s="16" t="s">
        <v>113</v>
      </c>
      <c r="F49" s="16" t="s">
        <v>85</v>
      </c>
      <c r="G49" s="16" t="s">
        <v>40</v>
      </c>
      <c r="H49" s="16" t="s">
        <v>114</v>
      </c>
      <c r="I49" s="16" t="s">
        <v>115</v>
      </c>
      <c r="J49" s="15">
        <v>-59999.829999999987</v>
      </c>
      <c r="K49" s="15">
        <v>-59999.829999999987</v>
      </c>
      <c r="L49" s="15">
        <v>0</v>
      </c>
      <c r="M49" s="15">
        <f t="shared" si="0"/>
        <v>-59999.829999999987</v>
      </c>
      <c r="N49" s="15">
        <v>0</v>
      </c>
      <c r="O49" s="15">
        <f t="shared" si="6"/>
        <v>0</v>
      </c>
      <c r="P49" s="36">
        <v>0</v>
      </c>
      <c r="Q49" s="15">
        <f t="shared" si="2"/>
        <v>0</v>
      </c>
      <c r="R49" s="36"/>
      <c r="S49" s="15">
        <f>M49</f>
        <v>-59999.829999999987</v>
      </c>
    </row>
    <row r="50" spans="1:19" x14ac:dyDescent="0.25">
      <c r="A50" s="16" t="s">
        <v>37</v>
      </c>
      <c r="B50" s="16" t="s">
        <v>104</v>
      </c>
      <c r="C50" s="16" t="s">
        <v>105</v>
      </c>
      <c r="D50" s="16" t="s">
        <v>116</v>
      </c>
      <c r="E50" s="16" t="s">
        <v>117</v>
      </c>
      <c r="F50" s="16" t="s">
        <v>85</v>
      </c>
      <c r="G50" s="16" t="s">
        <v>40</v>
      </c>
      <c r="H50" s="16" t="s">
        <v>38</v>
      </c>
      <c r="I50" s="16" t="s">
        <v>38</v>
      </c>
      <c r="J50" s="15">
        <v>-750286.74264063989</v>
      </c>
      <c r="K50" s="15">
        <v>-30389.877</v>
      </c>
      <c r="L50" s="15">
        <v>-186786.25553591264</v>
      </c>
      <c r="M50" s="15">
        <f t="shared" si="0"/>
        <v>-563500.48710472719</v>
      </c>
      <c r="N50" s="15">
        <f>-563500.487104727+M46+M48</f>
        <v>-541845.85704544699</v>
      </c>
      <c r="O50" s="15">
        <f t="shared" si="6"/>
        <v>-541845.85704544699</v>
      </c>
      <c r="P50" s="36">
        <v>0</v>
      </c>
      <c r="Q50" s="15">
        <f t="shared" si="2"/>
        <v>-541845.85704544699</v>
      </c>
      <c r="R50" s="36"/>
      <c r="S50" s="15"/>
    </row>
    <row r="51" spans="1:19" x14ac:dyDescent="0.25">
      <c r="A51" s="16" t="s">
        <v>37</v>
      </c>
      <c r="B51" s="16" t="s">
        <v>104</v>
      </c>
      <c r="C51" s="16" t="s">
        <v>105</v>
      </c>
      <c r="D51" s="16" t="s">
        <v>116</v>
      </c>
      <c r="E51" s="16" t="s">
        <v>117</v>
      </c>
      <c r="F51" s="16" t="s">
        <v>85</v>
      </c>
      <c r="G51" s="16" t="s">
        <v>40</v>
      </c>
      <c r="H51" s="16" t="s">
        <v>62</v>
      </c>
      <c r="I51" s="16" t="s">
        <v>63</v>
      </c>
      <c r="J51" s="15">
        <v>-3524.5529999999994</v>
      </c>
      <c r="K51" s="15">
        <v>-3524.5529999999994</v>
      </c>
      <c r="L51" s="15">
        <v>-3524.5499952300042</v>
      </c>
      <c r="M51" s="15">
        <f t="shared" si="0"/>
        <v>-3.004769995186507E-3</v>
      </c>
      <c r="N51" s="15">
        <v>0</v>
      </c>
      <c r="O51" s="15">
        <f t="shared" si="6"/>
        <v>0</v>
      </c>
      <c r="P51" s="36">
        <v>0</v>
      </c>
      <c r="Q51" s="15">
        <f t="shared" si="2"/>
        <v>0</v>
      </c>
      <c r="R51" s="36"/>
      <c r="S51" s="15"/>
    </row>
    <row r="52" spans="1:19" x14ac:dyDescent="0.25">
      <c r="A52" s="16" t="s">
        <v>37</v>
      </c>
      <c r="B52" s="16" t="s">
        <v>104</v>
      </c>
      <c r="C52" s="16" t="s">
        <v>105</v>
      </c>
      <c r="D52" s="16" t="s">
        <v>116</v>
      </c>
      <c r="E52" s="16" t="s">
        <v>117</v>
      </c>
      <c r="F52" s="16" t="s">
        <v>85</v>
      </c>
      <c r="G52" s="16" t="s">
        <v>40</v>
      </c>
      <c r="H52" s="16" t="s">
        <v>118</v>
      </c>
      <c r="I52" s="16" t="s">
        <v>119</v>
      </c>
      <c r="J52" s="15">
        <v>-4425.05</v>
      </c>
      <c r="K52" s="15">
        <v>0</v>
      </c>
      <c r="L52" s="15">
        <v>-4425.05</v>
      </c>
      <c r="M52" s="15">
        <f t="shared" si="0"/>
        <v>0</v>
      </c>
      <c r="N52" s="15">
        <v>0</v>
      </c>
      <c r="O52" s="15">
        <f t="shared" si="6"/>
        <v>0</v>
      </c>
      <c r="P52" s="36">
        <v>0</v>
      </c>
      <c r="Q52" s="15">
        <f t="shared" si="2"/>
        <v>0</v>
      </c>
      <c r="R52" s="36"/>
      <c r="S52" s="15"/>
    </row>
    <row r="53" spans="1:19" x14ac:dyDescent="0.25">
      <c r="A53" s="16" t="s">
        <v>37</v>
      </c>
      <c r="B53" s="16" t="s">
        <v>104</v>
      </c>
      <c r="C53" s="16" t="s">
        <v>105</v>
      </c>
      <c r="D53" s="16" t="s">
        <v>120</v>
      </c>
      <c r="E53" s="16" t="s">
        <v>121</v>
      </c>
      <c r="F53" s="16" t="s">
        <v>85</v>
      </c>
      <c r="G53" s="16" t="s">
        <v>40</v>
      </c>
      <c r="H53" s="16" t="s">
        <v>38</v>
      </c>
      <c r="I53" s="16" t="s">
        <v>38</v>
      </c>
      <c r="J53" s="15">
        <v>-515080.85969697754</v>
      </c>
      <c r="K53" s="15">
        <v>-88461.713600000003</v>
      </c>
      <c r="L53" s="15">
        <v>-417236.37357727101</v>
      </c>
      <c r="M53" s="15">
        <f t="shared" si="0"/>
        <v>-97844.486119706533</v>
      </c>
      <c r="N53" s="15">
        <v>-97844.486119706664</v>
      </c>
      <c r="O53" s="15">
        <f t="shared" si="6"/>
        <v>-97844.486119706664</v>
      </c>
      <c r="P53" s="36">
        <v>0</v>
      </c>
      <c r="Q53" s="15">
        <f t="shared" si="2"/>
        <v>-97844.486119706664</v>
      </c>
      <c r="R53" s="36"/>
      <c r="S53" s="15"/>
    </row>
    <row r="54" spans="1:19" x14ac:dyDescent="0.25">
      <c r="A54" s="16" t="s">
        <v>37</v>
      </c>
      <c r="B54" s="16" t="s">
        <v>104</v>
      </c>
      <c r="C54" s="16" t="s">
        <v>105</v>
      </c>
      <c r="D54" s="16" t="s">
        <v>120</v>
      </c>
      <c r="E54" s="16" t="s">
        <v>121</v>
      </c>
      <c r="F54" s="16" t="s">
        <v>85</v>
      </c>
      <c r="G54" s="16" t="s">
        <v>40</v>
      </c>
      <c r="H54" s="16" t="s">
        <v>62</v>
      </c>
      <c r="I54" s="16" t="s">
        <v>63</v>
      </c>
      <c r="J54" s="15">
        <v>-7921.0080000000007</v>
      </c>
      <c r="K54" s="15">
        <v>-7921.0080000000007</v>
      </c>
      <c r="L54" s="15">
        <v>-7921.0099892799981</v>
      </c>
      <c r="M54" s="15">
        <f t="shared" si="0"/>
        <v>1.9892799973604269E-3</v>
      </c>
      <c r="N54" s="15">
        <v>0</v>
      </c>
      <c r="O54" s="15">
        <f t="shared" si="6"/>
        <v>0</v>
      </c>
      <c r="P54" s="36">
        <v>0</v>
      </c>
      <c r="Q54" s="15">
        <f t="shared" si="2"/>
        <v>0</v>
      </c>
      <c r="R54" s="36"/>
      <c r="S54" s="15"/>
    </row>
    <row r="55" spans="1:19" x14ac:dyDescent="0.25">
      <c r="A55" s="16" t="s">
        <v>37</v>
      </c>
      <c r="B55" s="16" t="s">
        <v>104</v>
      </c>
      <c r="C55" s="16" t="s">
        <v>105</v>
      </c>
      <c r="D55" s="16" t="s">
        <v>122</v>
      </c>
      <c r="E55" s="16" t="s">
        <v>123</v>
      </c>
      <c r="F55" s="16" t="s">
        <v>85</v>
      </c>
      <c r="G55" s="16" t="s">
        <v>40</v>
      </c>
      <c r="H55" s="16" t="s">
        <v>38</v>
      </c>
      <c r="I55" s="16" t="s">
        <v>38</v>
      </c>
      <c r="J55" s="15">
        <v>-1373775.2192790462</v>
      </c>
      <c r="K55" s="15">
        <v>-282976.71999999997</v>
      </c>
      <c r="L55" s="15">
        <v>-454781.75159566442</v>
      </c>
      <c r="M55" s="15">
        <f t="shared" si="0"/>
        <v>-918993.46768338175</v>
      </c>
      <c r="N55" s="15">
        <v>-918993.46768338163</v>
      </c>
      <c r="O55" s="15">
        <f t="shared" si="6"/>
        <v>-918993.46768338163</v>
      </c>
      <c r="P55" s="36">
        <v>0</v>
      </c>
      <c r="Q55" s="15">
        <f t="shared" si="2"/>
        <v>-918993.46768338163</v>
      </c>
      <c r="R55" s="36"/>
      <c r="S55" s="15"/>
    </row>
    <row r="56" spans="1:19" x14ac:dyDescent="0.25">
      <c r="A56" s="16" t="s">
        <v>37</v>
      </c>
      <c r="B56" s="16" t="s">
        <v>104</v>
      </c>
      <c r="C56" s="16" t="s">
        <v>105</v>
      </c>
      <c r="D56" s="16" t="s">
        <v>122</v>
      </c>
      <c r="E56" s="16" t="s">
        <v>123</v>
      </c>
      <c r="F56" s="16" t="s">
        <v>85</v>
      </c>
      <c r="G56" s="16" t="s">
        <v>40</v>
      </c>
      <c r="H56" s="16" t="s">
        <v>124</v>
      </c>
      <c r="I56" s="16" t="s">
        <v>125</v>
      </c>
      <c r="J56" s="15">
        <v>-13049.61619296666</v>
      </c>
      <c r="K56" s="15">
        <v>0</v>
      </c>
      <c r="L56" s="15">
        <v>-11450.338299186991</v>
      </c>
      <c r="M56" s="15">
        <f t="shared" si="0"/>
        <v>-1599.2778937796684</v>
      </c>
      <c r="N56" s="15">
        <v>0</v>
      </c>
      <c r="O56" s="15">
        <f t="shared" si="6"/>
        <v>0</v>
      </c>
      <c r="P56" s="36">
        <v>0</v>
      </c>
      <c r="Q56" s="15">
        <f t="shared" si="2"/>
        <v>0</v>
      </c>
      <c r="R56" s="36"/>
      <c r="S56" s="15"/>
    </row>
    <row r="57" spans="1:19" x14ac:dyDescent="0.25">
      <c r="A57" s="16" t="s">
        <v>37</v>
      </c>
      <c r="B57" s="16" t="s">
        <v>104</v>
      </c>
      <c r="C57" s="16" t="s">
        <v>105</v>
      </c>
      <c r="D57" s="16" t="s">
        <v>122</v>
      </c>
      <c r="E57" s="16" t="s">
        <v>123</v>
      </c>
      <c r="F57" s="16" t="s">
        <v>85</v>
      </c>
      <c r="G57" s="16" t="s">
        <v>40</v>
      </c>
      <c r="H57" s="16" t="s">
        <v>62</v>
      </c>
      <c r="I57" s="16" t="s">
        <v>63</v>
      </c>
      <c r="J57" s="15">
        <v>-3916.1699999999992</v>
      </c>
      <c r="K57" s="15">
        <v>-3916.1699999999992</v>
      </c>
      <c r="L57" s="15">
        <v>-3916.1699946999997</v>
      </c>
      <c r="M57" s="15">
        <f t="shared" si="0"/>
        <v>-5.2999994295532815E-6</v>
      </c>
      <c r="N57" s="15">
        <v>0</v>
      </c>
      <c r="O57" s="15">
        <f t="shared" si="6"/>
        <v>0</v>
      </c>
      <c r="P57" s="36">
        <v>0</v>
      </c>
      <c r="Q57" s="15">
        <f t="shared" si="2"/>
        <v>0</v>
      </c>
      <c r="R57" s="36"/>
      <c r="S57" s="15"/>
    </row>
    <row r="58" spans="1:19" x14ac:dyDescent="0.25">
      <c r="A58" s="16" t="s">
        <v>37</v>
      </c>
      <c r="B58" s="16" t="s">
        <v>104</v>
      </c>
      <c r="C58" s="16" t="s">
        <v>105</v>
      </c>
      <c r="D58" s="16" t="s">
        <v>122</v>
      </c>
      <c r="E58" s="16" t="s">
        <v>123</v>
      </c>
      <c r="F58" s="16" t="s">
        <v>85</v>
      </c>
      <c r="G58" s="16" t="s">
        <v>40</v>
      </c>
      <c r="H58" s="16" t="s">
        <v>71</v>
      </c>
      <c r="I58" s="16" t="s">
        <v>72</v>
      </c>
      <c r="J58" s="15">
        <v>-2072000</v>
      </c>
      <c r="K58" s="15">
        <v>0</v>
      </c>
      <c r="L58" s="15">
        <v>-208695.63</v>
      </c>
      <c r="M58" s="15">
        <f t="shared" si="0"/>
        <v>-1863304.37</v>
      </c>
      <c r="N58" s="15">
        <v>-1863304.37</v>
      </c>
      <c r="O58" s="15">
        <f t="shared" si="6"/>
        <v>-863304.37000000011</v>
      </c>
      <c r="P58" s="36">
        <v>-1000000</v>
      </c>
      <c r="Q58" s="15">
        <f t="shared" si="2"/>
        <v>-1863304.37</v>
      </c>
      <c r="R58" s="36"/>
      <c r="S58" s="15"/>
    </row>
    <row r="59" spans="1:19" x14ac:dyDescent="0.25">
      <c r="A59" s="16" t="s">
        <v>37</v>
      </c>
      <c r="B59" s="16" t="s">
        <v>104</v>
      </c>
      <c r="C59" s="16" t="s">
        <v>105</v>
      </c>
      <c r="D59" s="16" t="s">
        <v>126</v>
      </c>
      <c r="E59" s="16" t="s">
        <v>127</v>
      </c>
      <c r="F59" s="16" t="s">
        <v>85</v>
      </c>
      <c r="G59" s="16" t="s">
        <v>40</v>
      </c>
      <c r="H59" s="16" t="s">
        <v>38</v>
      </c>
      <c r="I59" s="16" t="s">
        <v>38</v>
      </c>
      <c r="J59" s="15">
        <v>-1007685.3892574619</v>
      </c>
      <c r="K59" s="15">
        <v>0</v>
      </c>
      <c r="L59" s="15">
        <v>-873179.37508591404</v>
      </c>
      <c r="M59" s="15">
        <f t="shared" si="0"/>
        <v>-134506.01417154784</v>
      </c>
      <c r="N59" s="15">
        <v>-134506.01</v>
      </c>
      <c r="O59" s="15">
        <f t="shared" si="6"/>
        <v>-134506.01</v>
      </c>
      <c r="P59" s="36">
        <v>0</v>
      </c>
      <c r="Q59" s="15">
        <f t="shared" si="2"/>
        <v>-134506.01</v>
      </c>
      <c r="R59" s="36"/>
      <c r="S59" s="15"/>
    </row>
    <row r="60" spans="1:19" x14ac:dyDescent="0.25">
      <c r="A60" s="16" t="s">
        <v>37</v>
      </c>
      <c r="B60" s="16" t="s">
        <v>104</v>
      </c>
      <c r="C60" s="16" t="s">
        <v>105</v>
      </c>
      <c r="D60" s="16" t="s">
        <v>126</v>
      </c>
      <c r="E60" s="16" t="s">
        <v>127</v>
      </c>
      <c r="F60" s="16" t="s">
        <v>85</v>
      </c>
      <c r="G60" s="16" t="s">
        <v>40</v>
      </c>
      <c r="H60" s="16" t="s">
        <v>124</v>
      </c>
      <c r="I60" s="16" t="s">
        <v>125</v>
      </c>
      <c r="J60" s="15">
        <v>-82503.99539703333</v>
      </c>
      <c r="K60" s="15">
        <v>0</v>
      </c>
      <c r="L60" s="15">
        <v>-69446.541700813017</v>
      </c>
      <c r="M60" s="15">
        <f t="shared" si="0"/>
        <v>-13057.453696220313</v>
      </c>
      <c r="N60" s="15">
        <v>0</v>
      </c>
      <c r="O60" s="15">
        <f t="shared" si="6"/>
        <v>0</v>
      </c>
      <c r="P60" s="36">
        <v>0</v>
      </c>
      <c r="Q60" s="15">
        <f t="shared" si="2"/>
        <v>0</v>
      </c>
      <c r="R60" s="36"/>
      <c r="S60" s="15"/>
    </row>
    <row r="61" spans="1:19" x14ac:dyDescent="0.25">
      <c r="A61" s="16" t="s">
        <v>37</v>
      </c>
      <c r="B61" s="16" t="s">
        <v>100</v>
      </c>
      <c r="C61" s="16" t="s">
        <v>101</v>
      </c>
      <c r="D61" s="16" t="s">
        <v>128</v>
      </c>
      <c r="E61" s="16" t="s">
        <v>129</v>
      </c>
      <c r="F61" s="16" t="s">
        <v>85</v>
      </c>
      <c r="G61" s="16" t="s">
        <v>40</v>
      </c>
      <c r="H61" s="16" t="s">
        <v>38</v>
      </c>
      <c r="I61" s="16" t="s">
        <v>38</v>
      </c>
      <c r="J61" s="15">
        <v>-1947982.2947236325</v>
      </c>
      <c r="K61" s="15">
        <v>-114569.98466119746</v>
      </c>
      <c r="L61" s="15">
        <v>-2497745.9100403618</v>
      </c>
      <c r="M61" s="15">
        <f t="shared" si="0"/>
        <v>549763.61531672929</v>
      </c>
      <c r="N61" s="15">
        <v>0</v>
      </c>
      <c r="O61" s="15">
        <f t="shared" si="6"/>
        <v>0</v>
      </c>
      <c r="P61" s="36">
        <v>0</v>
      </c>
      <c r="Q61" s="15">
        <f t="shared" si="2"/>
        <v>0</v>
      </c>
      <c r="R61" s="36"/>
      <c r="S61" s="15"/>
    </row>
    <row r="62" spans="1:19" x14ac:dyDescent="0.25">
      <c r="A62" s="16" t="s">
        <v>37</v>
      </c>
      <c r="B62" s="16" t="s">
        <v>100</v>
      </c>
      <c r="C62" s="16" t="s">
        <v>101</v>
      </c>
      <c r="D62" s="16" t="s">
        <v>128</v>
      </c>
      <c r="E62" s="16" t="s">
        <v>129</v>
      </c>
      <c r="F62" s="16" t="s">
        <v>85</v>
      </c>
      <c r="G62" s="16" t="s">
        <v>40</v>
      </c>
      <c r="H62" s="16" t="s">
        <v>130</v>
      </c>
      <c r="I62" s="16" t="s">
        <v>131</v>
      </c>
      <c r="J62" s="15">
        <v>-1681.4200000058054</v>
      </c>
      <c r="K62" s="15">
        <v>-1681.4200000058054</v>
      </c>
      <c r="L62" s="15">
        <v>0</v>
      </c>
      <c r="M62" s="15">
        <f t="shared" si="0"/>
        <v>-1681.4200000058054</v>
      </c>
      <c r="N62" s="15">
        <v>-1681.42</v>
      </c>
      <c r="O62" s="15">
        <f t="shared" si="6"/>
        <v>-1681.42</v>
      </c>
      <c r="P62" s="36">
        <v>0</v>
      </c>
      <c r="Q62" s="15">
        <f t="shared" si="2"/>
        <v>-1681.42</v>
      </c>
      <c r="R62" s="36"/>
      <c r="S62" s="15"/>
    </row>
    <row r="63" spans="1:19" x14ac:dyDescent="0.25">
      <c r="A63" s="16" t="s">
        <v>37</v>
      </c>
      <c r="B63" s="16" t="s">
        <v>100</v>
      </c>
      <c r="C63" s="16" t="s">
        <v>101</v>
      </c>
      <c r="D63" s="16" t="s">
        <v>128</v>
      </c>
      <c r="E63" s="16" t="s">
        <v>129</v>
      </c>
      <c r="F63" s="16" t="s">
        <v>85</v>
      </c>
      <c r="G63" s="16" t="s">
        <v>40</v>
      </c>
      <c r="H63" s="16" t="s">
        <v>124</v>
      </c>
      <c r="I63" s="16" t="s">
        <v>125</v>
      </c>
      <c r="J63" s="15">
        <v>-16482.938221686098</v>
      </c>
      <c r="K63" s="15">
        <v>0</v>
      </c>
      <c r="L63" s="15">
        <v>-12697.081890638663</v>
      </c>
      <c r="M63" s="15">
        <f t="shared" si="0"/>
        <v>-3785.8563310474347</v>
      </c>
      <c r="N63" s="15">
        <v>0</v>
      </c>
      <c r="O63" s="15">
        <f t="shared" si="6"/>
        <v>0</v>
      </c>
      <c r="P63" s="36">
        <v>0</v>
      </c>
      <c r="Q63" s="15">
        <f t="shared" si="2"/>
        <v>0</v>
      </c>
      <c r="R63" s="36"/>
      <c r="S63" s="15"/>
    </row>
    <row r="64" spans="1:19" x14ac:dyDescent="0.25">
      <c r="A64" s="16" t="s">
        <v>37</v>
      </c>
      <c r="B64" s="16" t="s">
        <v>100</v>
      </c>
      <c r="C64" s="16" t="s">
        <v>101</v>
      </c>
      <c r="D64" s="16" t="s">
        <v>128</v>
      </c>
      <c r="E64" s="16" t="s">
        <v>129</v>
      </c>
      <c r="F64" s="16" t="s">
        <v>85</v>
      </c>
      <c r="G64" s="16" t="s">
        <v>40</v>
      </c>
      <c r="H64" s="16" t="s">
        <v>132</v>
      </c>
      <c r="I64" s="16" t="s">
        <v>133</v>
      </c>
      <c r="J64" s="15">
        <v>-10260.985314907266</v>
      </c>
      <c r="K64" s="15">
        <v>-10260.985314907266</v>
      </c>
      <c r="L64" s="15">
        <v>-10260.979998128665</v>
      </c>
      <c r="M64" s="15">
        <f t="shared" si="0"/>
        <v>-5.3167786008998519E-3</v>
      </c>
      <c r="N64" s="15">
        <v>0</v>
      </c>
      <c r="O64" s="15">
        <f t="shared" si="6"/>
        <v>0</v>
      </c>
      <c r="P64" s="36">
        <v>0</v>
      </c>
      <c r="Q64" s="15">
        <f t="shared" si="2"/>
        <v>0</v>
      </c>
      <c r="R64" s="36"/>
      <c r="S64" s="15"/>
    </row>
    <row r="65" spans="1:19" x14ac:dyDescent="0.25">
      <c r="A65" s="16" t="s">
        <v>37</v>
      </c>
      <c r="B65" s="16" t="s">
        <v>100</v>
      </c>
      <c r="C65" s="16" t="s">
        <v>101</v>
      </c>
      <c r="D65" s="16" t="s">
        <v>128</v>
      </c>
      <c r="E65" s="16" t="s">
        <v>129</v>
      </c>
      <c r="F65" s="16" t="s">
        <v>85</v>
      </c>
      <c r="G65" s="16" t="s">
        <v>40</v>
      </c>
      <c r="H65" s="16" t="s">
        <v>64</v>
      </c>
      <c r="I65" s="16" t="s">
        <v>65</v>
      </c>
      <c r="J65" s="15">
        <v>-21561.963315181802</v>
      </c>
      <c r="K65" s="15">
        <v>0</v>
      </c>
      <c r="L65" s="15">
        <v>-18272.519971045385</v>
      </c>
      <c r="M65" s="15">
        <f t="shared" si="0"/>
        <v>-3289.4433441364163</v>
      </c>
      <c r="N65" s="15">
        <v>-3289.44</v>
      </c>
      <c r="O65" s="15">
        <f t="shared" si="6"/>
        <v>-3289.44</v>
      </c>
      <c r="P65" s="36">
        <v>0</v>
      </c>
      <c r="Q65" s="15">
        <f t="shared" si="2"/>
        <v>-3289.44</v>
      </c>
      <c r="R65" s="36"/>
      <c r="S65" s="15"/>
    </row>
    <row r="66" spans="1:19" x14ac:dyDescent="0.25">
      <c r="A66" s="16" t="s">
        <v>37</v>
      </c>
      <c r="B66" s="16" t="s">
        <v>100</v>
      </c>
      <c r="C66" s="16" t="s">
        <v>101</v>
      </c>
      <c r="D66" s="16" t="s">
        <v>128</v>
      </c>
      <c r="E66" s="16" t="s">
        <v>129</v>
      </c>
      <c r="F66" s="16" t="s">
        <v>85</v>
      </c>
      <c r="G66" s="16" t="s">
        <v>40</v>
      </c>
      <c r="H66" s="16" t="s">
        <v>66</v>
      </c>
      <c r="I66" s="16" t="s">
        <v>63</v>
      </c>
      <c r="J66" s="15">
        <v>-21575.433222456802</v>
      </c>
      <c r="K66" s="15">
        <v>-21575.433222456802</v>
      </c>
      <c r="L66" s="15">
        <v>-21575.419981705993</v>
      </c>
      <c r="M66" s="15">
        <f t="shared" si="0"/>
        <v>-1.3240750809927704E-2</v>
      </c>
      <c r="N66" s="15">
        <v>0</v>
      </c>
      <c r="O66" s="15">
        <f t="shared" si="6"/>
        <v>0</v>
      </c>
      <c r="P66" s="36">
        <v>0</v>
      </c>
      <c r="Q66" s="15">
        <f t="shared" si="2"/>
        <v>0</v>
      </c>
      <c r="R66" s="36"/>
      <c r="S66" s="15"/>
    </row>
    <row r="67" spans="1:19" x14ac:dyDescent="0.25">
      <c r="A67" s="16" t="s">
        <v>37</v>
      </c>
      <c r="B67" s="16" t="s">
        <v>100</v>
      </c>
      <c r="C67" s="16" t="s">
        <v>101</v>
      </c>
      <c r="D67" s="16" t="s">
        <v>128</v>
      </c>
      <c r="E67" s="16" t="s">
        <v>129</v>
      </c>
      <c r="F67" s="16" t="s">
        <v>85</v>
      </c>
      <c r="G67" s="16" t="s">
        <v>40</v>
      </c>
      <c r="H67" s="16" t="s">
        <v>67</v>
      </c>
      <c r="I67" s="16" t="s">
        <v>68</v>
      </c>
      <c r="J67" s="15">
        <v>-6120</v>
      </c>
      <c r="K67" s="15">
        <v>0</v>
      </c>
      <c r="L67" s="15">
        <v>0</v>
      </c>
      <c r="M67" s="15">
        <f t="shared" si="0"/>
        <v>-6120</v>
      </c>
      <c r="N67" s="15">
        <v>-6120</v>
      </c>
      <c r="O67" s="15">
        <f t="shared" si="6"/>
        <v>-6120</v>
      </c>
      <c r="P67" s="36">
        <v>0</v>
      </c>
      <c r="Q67" s="15">
        <f t="shared" si="2"/>
        <v>-6120</v>
      </c>
      <c r="R67" s="36"/>
      <c r="S67" s="15"/>
    </row>
    <row r="68" spans="1:19" x14ac:dyDescent="0.25">
      <c r="A68" s="16" t="s">
        <v>37</v>
      </c>
      <c r="B68" s="16" t="s">
        <v>100</v>
      </c>
      <c r="C68" s="16" t="s">
        <v>101</v>
      </c>
      <c r="D68" s="16" t="s">
        <v>128</v>
      </c>
      <c r="E68" s="16" t="s">
        <v>129</v>
      </c>
      <c r="F68" s="16" t="s">
        <v>85</v>
      </c>
      <c r="G68" s="16" t="s">
        <v>40</v>
      </c>
      <c r="H68" s="16" t="s">
        <v>69</v>
      </c>
      <c r="I68" s="16" t="s">
        <v>70</v>
      </c>
      <c r="J68" s="15">
        <v>-5428.9577188486983</v>
      </c>
      <c r="K68" s="15">
        <v>-5428.9577189636975</v>
      </c>
      <c r="L68" s="15">
        <v>-5344.5599575447231</v>
      </c>
      <c r="M68" s="15">
        <f t="shared" si="0"/>
        <v>-84.39776130397513</v>
      </c>
      <c r="N68" s="15">
        <v>0</v>
      </c>
      <c r="O68" s="15">
        <f t="shared" si="6"/>
        <v>0</v>
      </c>
      <c r="P68" s="36">
        <v>0</v>
      </c>
      <c r="Q68" s="15">
        <f t="shared" si="2"/>
        <v>0</v>
      </c>
      <c r="R68" s="36"/>
      <c r="S68" s="15">
        <f>M68</f>
        <v>-84.39776130397513</v>
      </c>
    </row>
    <row r="69" spans="1:19" x14ac:dyDescent="0.25">
      <c r="A69" s="16" t="s">
        <v>37</v>
      </c>
      <c r="B69" s="16" t="s">
        <v>100</v>
      </c>
      <c r="C69" s="16" t="s">
        <v>101</v>
      </c>
      <c r="D69" s="16" t="s">
        <v>128</v>
      </c>
      <c r="E69" s="16" t="s">
        <v>129</v>
      </c>
      <c r="F69" s="16" t="s">
        <v>85</v>
      </c>
      <c r="G69" s="16" t="s">
        <v>40</v>
      </c>
      <c r="H69" s="16" t="s">
        <v>134</v>
      </c>
      <c r="I69" s="16" t="s">
        <v>135</v>
      </c>
      <c r="J69" s="15">
        <v>-181817</v>
      </c>
      <c r="K69" s="15">
        <v>0</v>
      </c>
      <c r="L69" s="15">
        <v>0</v>
      </c>
      <c r="M69" s="15">
        <f t="shared" si="0"/>
        <v>-181817</v>
      </c>
      <c r="N69" s="15">
        <v>-181817</v>
      </c>
      <c r="O69" s="15">
        <f t="shared" si="6"/>
        <v>-181817</v>
      </c>
      <c r="P69" s="36">
        <v>0</v>
      </c>
      <c r="Q69" s="15">
        <f t="shared" si="2"/>
        <v>-181817</v>
      </c>
      <c r="R69" s="36"/>
      <c r="S69" s="15"/>
    </row>
    <row r="70" spans="1:19" x14ac:dyDescent="0.25">
      <c r="A70" s="16" t="s">
        <v>37</v>
      </c>
      <c r="B70" s="16" t="s">
        <v>100</v>
      </c>
      <c r="C70" s="16" t="s">
        <v>101</v>
      </c>
      <c r="D70" s="16" t="s">
        <v>128</v>
      </c>
      <c r="E70" s="16" t="s">
        <v>129</v>
      </c>
      <c r="F70" s="16" t="s">
        <v>85</v>
      </c>
      <c r="G70" s="16" t="s">
        <v>40</v>
      </c>
      <c r="H70" s="16" t="s">
        <v>136</v>
      </c>
      <c r="I70" s="16" t="s">
        <v>137</v>
      </c>
      <c r="J70" s="15">
        <v>-41021.800000000032</v>
      </c>
      <c r="K70" s="15">
        <v>0</v>
      </c>
      <c r="L70" s="15">
        <v>-41021.799999999996</v>
      </c>
      <c r="M70" s="15">
        <f t="shared" si="0"/>
        <v>0</v>
      </c>
      <c r="N70" s="15">
        <v>-3.4560798667371273E-11</v>
      </c>
      <c r="O70" s="15">
        <f t="shared" si="6"/>
        <v>-3.4560798667371273E-11</v>
      </c>
      <c r="P70" s="36">
        <v>0</v>
      </c>
      <c r="Q70" s="15">
        <f t="shared" si="2"/>
        <v>-3.4560798667371273E-11</v>
      </c>
      <c r="R70" s="36"/>
      <c r="S70" s="15"/>
    </row>
    <row r="71" spans="1:19" x14ac:dyDescent="0.25">
      <c r="A71" s="16" t="s">
        <v>37</v>
      </c>
      <c r="B71" s="16" t="s">
        <v>100</v>
      </c>
      <c r="C71" s="16" t="s">
        <v>101</v>
      </c>
      <c r="D71" s="16" t="s">
        <v>128</v>
      </c>
      <c r="E71" s="16" t="s">
        <v>129</v>
      </c>
      <c r="F71" s="16" t="s">
        <v>85</v>
      </c>
      <c r="G71" s="16" t="s">
        <v>40</v>
      </c>
      <c r="H71" s="16" t="s">
        <v>138</v>
      </c>
      <c r="I71" s="16" t="s">
        <v>139</v>
      </c>
      <c r="J71" s="15">
        <v>-126.09095930767819</v>
      </c>
      <c r="K71" s="15">
        <v>0</v>
      </c>
      <c r="L71" s="15">
        <v>-126.09095930767819</v>
      </c>
      <c r="M71" s="15">
        <f t="shared" si="0"/>
        <v>0</v>
      </c>
      <c r="N71" s="15">
        <v>0</v>
      </c>
      <c r="O71" s="15">
        <f t="shared" si="6"/>
        <v>0</v>
      </c>
      <c r="P71" s="36">
        <v>0</v>
      </c>
      <c r="Q71" s="15">
        <f t="shared" si="2"/>
        <v>0</v>
      </c>
      <c r="R71" s="36"/>
      <c r="S71" s="15"/>
    </row>
    <row r="72" spans="1:19" x14ac:dyDescent="0.25">
      <c r="A72" s="16" t="s">
        <v>37</v>
      </c>
      <c r="B72" s="16" t="s">
        <v>100</v>
      </c>
      <c r="C72" s="16" t="s">
        <v>101</v>
      </c>
      <c r="D72" s="16" t="s">
        <v>140</v>
      </c>
      <c r="E72" s="16" t="s">
        <v>141</v>
      </c>
      <c r="F72" s="16" t="s">
        <v>85</v>
      </c>
      <c r="G72" s="16" t="s">
        <v>40</v>
      </c>
      <c r="H72" s="16" t="s">
        <v>38</v>
      </c>
      <c r="I72" s="16" t="s">
        <v>38</v>
      </c>
      <c r="J72" s="15">
        <v>-5652475.9351278078</v>
      </c>
      <c r="K72" s="15">
        <v>-626056.7439984862</v>
      </c>
      <c r="L72" s="15">
        <v>-4074908.513127625</v>
      </c>
      <c r="M72" s="15">
        <f t="shared" si="0"/>
        <v>-1577567.4220001828</v>
      </c>
      <c r="N72" s="15">
        <f>-1577567.42+M61</f>
        <v>-1027803.8046832706</v>
      </c>
      <c r="O72" s="15">
        <f t="shared" si="6"/>
        <v>-1027803.8046832706</v>
      </c>
      <c r="P72" s="36">
        <v>0</v>
      </c>
      <c r="Q72" s="15">
        <f t="shared" si="2"/>
        <v>-1027803.8046832706</v>
      </c>
      <c r="R72" s="36"/>
      <c r="S72" s="15"/>
    </row>
    <row r="73" spans="1:19" x14ac:dyDescent="0.25">
      <c r="A73" s="16" t="s">
        <v>37</v>
      </c>
      <c r="B73" s="16" t="s">
        <v>100</v>
      </c>
      <c r="C73" s="16" t="s">
        <v>101</v>
      </c>
      <c r="D73" s="16" t="s">
        <v>140</v>
      </c>
      <c r="E73" s="16" t="s">
        <v>141</v>
      </c>
      <c r="F73" s="16" t="s">
        <v>85</v>
      </c>
      <c r="G73" s="16" t="s">
        <v>40</v>
      </c>
      <c r="H73" s="16" t="s">
        <v>142</v>
      </c>
      <c r="I73" s="16" t="s">
        <v>143</v>
      </c>
      <c r="J73" s="15">
        <v>-6466.4320000000007</v>
      </c>
      <c r="K73" s="15">
        <v>0</v>
      </c>
      <c r="L73" s="15">
        <v>0</v>
      </c>
      <c r="M73" s="15">
        <f t="shared" si="0"/>
        <v>-6466.4320000000007</v>
      </c>
      <c r="N73" s="15">
        <v>-6466.4320000000007</v>
      </c>
      <c r="O73" s="15">
        <f t="shared" si="6"/>
        <v>-6466.4320000000007</v>
      </c>
      <c r="P73" s="36">
        <v>0</v>
      </c>
      <c r="Q73" s="15">
        <f t="shared" si="2"/>
        <v>-6466.4320000000007</v>
      </c>
      <c r="R73" s="36"/>
      <c r="S73" s="15"/>
    </row>
    <row r="74" spans="1:19" x14ac:dyDescent="0.25">
      <c r="A74" s="16" t="s">
        <v>37</v>
      </c>
      <c r="B74" s="16" t="s">
        <v>100</v>
      </c>
      <c r="C74" s="16" t="s">
        <v>101</v>
      </c>
      <c r="D74" s="16" t="s">
        <v>140</v>
      </c>
      <c r="E74" s="16" t="s">
        <v>141</v>
      </c>
      <c r="F74" s="16" t="s">
        <v>85</v>
      </c>
      <c r="G74" s="16" t="s">
        <v>40</v>
      </c>
      <c r="H74" s="16" t="s">
        <v>130</v>
      </c>
      <c r="I74" s="16" t="s">
        <v>131</v>
      </c>
      <c r="J74" s="15">
        <v>-6657.7100000229875</v>
      </c>
      <c r="K74" s="15">
        <v>-6657.7100000229875</v>
      </c>
      <c r="L74" s="15">
        <v>0</v>
      </c>
      <c r="M74" s="15">
        <f t="shared" si="0"/>
        <v>-6657.7100000229875</v>
      </c>
      <c r="N74" s="15">
        <v>-6657.7100000229875</v>
      </c>
      <c r="O74" s="15">
        <f t="shared" si="6"/>
        <v>-6657.7100000229875</v>
      </c>
      <c r="P74" s="36">
        <v>0</v>
      </c>
      <c r="Q74" s="15">
        <f t="shared" si="2"/>
        <v>-6657.7100000229875</v>
      </c>
      <c r="R74" s="36"/>
      <c r="S74" s="15"/>
    </row>
    <row r="75" spans="1:19" x14ac:dyDescent="0.25">
      <c r="A75" s="16" t="s">
        <v>37</v>
      </c>
      <c r="B75" s="16" t="s">
        <v>100</v>
      </c>
      <c r="C75" s="16" t="s">
        <v>101</v>
      </c>
      <c r="D75" s="16" t="s">
        <v>140</v>
      </c>
      <c r="E75" s="16" t="s">
        <v>141</v>
      </c>
      <c r="F75" s="16" t="s">
        <v>85</v>
      </c>
      <c r="G75" s="16" t="s">
        <v>40</v>
      </c>
      <c r="H75" s="16" t="s">
        <v>124</v>
      </c>
      <c r="I75" s="16" t="s">
        <v>125</v>
      </c>
      <c r="J75" s="15">
        <v>-69165.109539790981</v>
      </c>
      <c r="K75" s="15">
        <v>0</v>
      </c>
      <c r="L75" s="15">
        <v>-67481.526356552393</v>
      </c>
      <c r="M75" s="15">
        <f t="shared" si="0"/>
        <v>-1683.5831832385884</v>
      </c>
      <c r="N75" s="15">
        <v>0</v>
      </c>
      <c r="O75" s="15">
        <f t="shared" ref="O75:O92" si="7">N75-P75</f>
        <v>0</v>
      </c>
      <c r="P75" s="36">
        <v>0</v>
      </c>
      <c r="Q75" s="15">
        <f t="shared" si="2"/>
        <v>0</v>
      </c>
      <c r="R75" s="36"/>
      <c r="S75" s="15"/>
    </row>
    <row r="76" spans="1:19" x14ac:dyDescent="0.25">
      <c r="A76" s="16" t="s">
        <v>37</v>
      </c>
      <c r="B76" s="16" t="s">
        <v>100</v>
      </c>
      <c r="C76" s="16" t="s">
        <v>101</v>
      </c>
      <c r="D76" s="16" t="s">
        <v>140</v>
      </c>
      <c r="E76" s="16" t="s">
        <v>141</v>
      </c>
      <c r="F76" s="16" t="s">
        <v>85</v>
      </c>
      <c r="G76" s="16" t="s">
        <v>40</v>
      </c>
      <c r="H76" s="16" t="s">
        <v>132</v>
      </c>
      <c r="I76" s="16" t="s">
        <v>133</v>
      </c>
      <c r="J76" s="15">
        <v>-21710.466498866328</v>
      </c>
      <c r="K76" s="15">
        <v>-21710.466788866324</v>
      </c>
      <c r="L76" s="15">
        <v>-21710.459996040579</v>
      </c>
      <c r="M76" s="15">
        <f t="shared" ref="M76:M139" si="8">J76-L76</f>
        <v>-6.5028257486119401E-3</v>
      </c>
      <c r="N76" s="15">
        <v>0</v>
      </c>
      <c r="O76" s="15">
        <f t="shared" si="7"/>
        <v>0</v>
      </c>
      <c r="P76" s="36">
        <v>0</v>
      </c>
      <c r="Q76" s="15">
        <f t="shared" ref="Q76:Q139" si="9">O76+P76</f>
        <v>0</v>
      </c>
      <c r="R76" s="36"/>
      <c r="S76" s="15"/>
    </row>
    <row r="77" spans="1:19" x14ac:dyDescent="0.25">
      <c r="A77" s="16" t="s">
        <v>37</v>
      </c>
      <c r="B77" s="16" t="s">
        <v>100</v>
      </c>
      <c r="C77" s="16" t="s">
        <v>101</v>
      </c>
      <c r="D77" s="16" t="s">
        <v>140</v>
      </c>
      <c r="E77" s="16" t="s">
        <v>141</v>
      </c>
      <c r="F77" s="16" t="s">
        <v>85</v>
      </c>
      <c r="G77" s="16" t="s">
        <v>40</v>
      </c>
      <c r="H77" s="16" t="s">
        <v>64</v>
      </c>
      <c r="I77" s="16" t="s">
        <v>65</v>
      </c>
      <c r="J77" s="15">
        <v>-43740.610264091134</v>
      </c>
      <c r="K77" s="15">
        <v>0</v>
      </c>
      <c r="L77" s="15">
        <v>-37801.619940099597</v>
      </c>
      <c r="M77" s="15">
        <f t="shared" si="8"/>
        <v>-5938.9903239915366</v>
      </c>
      <c r="N77" s="15">
        <v>-5938.9903239915311</v>
      </c>
      <c r="O77" s="15">
        <f t="shared" si="7"/>
        <v>-5938.9903239915311</v>
      </c>
      <c r="P77" s="36">
        <v>0</v>
      </c>
      <c r="Q77" s="15">
        <f t="shared" si="9"/>
        <v>-5938.9903239915311</v>
      </c>
      <c r="R77" s="36"/>
      <c r="S77" s="15"/>
    </row>
    <row r="78" spans="1:19" x14ac:dyDescent="0.25">
      <c r="A78" s="16" t="s">
        <v>37</v>
      </c>
      <c r="B78" s="16" t="s">
        <v>100</v>
      </c>
      <c r="C78" s="16" t="s">
        <v>101</v>
      </c>
      <c r="D78" s="16" t="s">
        <v>140</v>
      </c>
      <c r="E78" s="16" t="s">
        <v>141</v>
      </c>
      <c r="F78" s="16" t="s">
        <v>85</v>
      </c>
      <c r="G78" s="16" t="s">
        <v>40</v>
      </c>
      <c r="H78" s="16" t="s">
        <v>66</v>
      </c>
      <c r="I78" s="16" t="s">
        <v>63</v>
      </c>
      <c r="J78" s="15">
        <v>-29040.272935998135</v>
      </c>
      <c r="K78" s="15">
        <v>-29040.274205998132</v>
      </c>
      <c r="L78" s="15">
        <v>-29040.279975376463</v>
      </c>
      <c r="M78" s="15">
        <f t="shared" si="8"/>
        <v>7.0393783280451316E-3</v>
      </c>
      <c r="N78" s="15">
        <v>0</v>
      </c>
      <c r="O78" s="15">
        <f t="shared" si="7"/>
        <v>0</v>
      </c>
      <c r="P78" s="36">
        <v>0</v>
      </c>
      <c r="Q78" s="15">
        <f t="shared" si="9"/>
        <v>0</v>
      </c>
      <c r="R78" s="36"/>
      <c r="S78" s="15"/>
    </row>
    <row r="79" spans="1:19" x14ac:dyDescent="0.25">
      <c r="A79" s="16" t="s">
        <v>37</v>
      </c>
      <c r="B79" s="16" t="s">
        <v>100</v>
      </c>
      <c r="C79" s="16" t="s">
        <v>101</v>
      </c>
      <c r="D79" s="16" t="s">
        <v>140</v>
      </c>
      <c r="E79" s="16" t="s">
        <v>141</v>
      </c>
      <c r="F79" s="16" t="s">
        <v>85</v>
      </c>
      <c r="G79" s="16" t="s">
        <v>40</v>
      </c>
      <c r="H79" s="16" t="s">
        <v>67</v>
      </c>
      <c r="I79" s="16" t="s">
        <v>68</v>
      </c>
      <c r="J79" s="15">
        <v>-2000</v>
      </c>
      <c r="K79" s="15">
        <v>0</v>
      </c>
      <c r="L79" s="15">
        <v>0</v>
      </c>
      <c r="M79" s="15">
        <f t="shared" si="8"/>
        <v>-2000</v>
      </c>
      <c r="N79" s="15">
        <v>-2000</v>
      </c>
      <c r="O79" s="15">
        <f t="shared" si="7"/>
        <v>-2000</v>
      </c>
      <c r="P79" s="36">
        <v>0</v>
      </c>
      <c r="Q79" s="15">
        <f t="shared" si="9"/>
        <v>-2000</v>
      </c>
      <c r="R79" s="36"/>
      <c r="S79" s="15"/>
    </row>
    <row r="80" spans="1:19" x14ac:dyDescent="0.25">
      <c r="A80" s="16" t="s">
        <v>37</v>
      </c>
      <c r="B80" s="16" t="s">
        <v>100</v>
      </c>
      <c r="C80" s="16" t="s">
        <v>101</v>
      </c>
      <c r="D80" s="16" t="s">
        <v>140</v>
      </c>
      <c r="E80" s="16" t="s">
        <v>141</v>
      </c>
      <c r="F80" s="16" t="s">
        <v>85</v>
      </c>
      <c r="G80" s="16" t="s">
        <v>40</v>
      </c>
      <c r="H80" s="16" t="s">
        <v>69</v>
      </c>
      <c r="I80" s="16" t="s">
        <v>70</v>
      </c>
      <c r="J80" s="15">
        <v>-3794.5889726992446</v>
      </c>
      <c r="K80" s="15">
        <v>-3794.5890730832439</v>
      </c>
      <c r="L80" s="15">
        <v>-3492.4198445681159</v>
      </c>
      <c r="M80" s="15">
        <f t="shared" si="8"/>
        <v>-302.16912813112867</v>
      </c>
      <c r="N80" s="15">
        <v>0</v>
      </c>
      <c r="O80" s="15">
        <f t="shared" si="7"/>
        <v>0</v>
      </c>
      <c r="P80" s="36">
        <v>0</v>
      </c>
      <c r="Q80" s="15">
        <f t="shared" si="9"/>
        <v>0</v>
      </c>
      <c r="R80" s="36"/>
      <c r="S80" s="15">
        <f>M80</f>
        <v>-302.16912813112867</v>
      </c>
    </row>
    <row r="81" spans="1:19" x14ac:dyDescent="0.25">
      <c r="A81" s="16" t="s">
        <v>37</v>
      </c>
      <c r="B81" s="16" t="s">
        <v>100</v>
      </c>
      <c r="C81" s="16" t="s">
        <v>101</v>
      </c>
      <c r="D81" s="16" t="s">
        <v>140</v>
      </c>
      <c r="E81" s="16" t="s">
        <v>141</v>
      </c>
      <c r="F81" s="16" t="s">
        <v>85</v>
      </c>
      <c r="G81" s="16" t="s">
        <v>40</v>
      </c>
      <c r="H81" s="16" t="s">
        <v>136</v>
      </c>
      <c r="I81" s="16" t="s">
        <v>137</v>
      </c>
      <c r="J81" s="15">
        <v>-45318.900000000031</v>
      </c>
      <c r="K81" s="15">
        <v>0</v>
      </c>
      <c r="L81" s="15">
        <v>-45318.9</v>
      </c>
      <c r="M81" s="15">
        <f t="shared" si="8"/>
        <v>0</v>
      </c>
      <c r="N81" s="15">
        <v>-3.4560798667371273E-11</v>
      </c>
      <c r="O81" s="15">
        <f t="shared" si="7"/>
        <v>-3.4560798667371273E-11</v>
      </c>
      <c r="P81" s="36">
        <v>0</v>
      </c>
      <c r="Q81" s="15">
        <f t="shared" si="9"/>
        <v>-3.4560798667371273E-11</v>
      </c>
      <c r="R81" s="36"/>
      <c r="S81" s="15"/>
    </row>
    <row r="82" spans="1:19" x14ac:dyDescent="0.25">
      <c r="A82" s="16" t="s">
        <v>37</v>
      </c>
      <c r="B82" s="16" t="s">
        <v>100</v>
      </c>
      <c r="C82" s="16" t="s">
        <v>101</v>
      </c>
      <c r="D82" s="16" t="s">
        <v>140</v>
      </c>
      <c r="E82" s="16" t="s">
        <v>141</v>
      </c>
      <c r="F82" s="16" t="s">
        <v>85</v>
      </c>
      <c r="G82" s="16" t="s">
        <v>40</v>
      </c>
      <c r="H82" s="16" t="s">
        <v>138</v>
      </c>
      <c r="I82" s="16" t="s">
        <v>139</v>
      </c>
      <c r="J82" s="15">
        <v>-769.60517663150699</v>
      </c>
      <c r="K82" s="15">
        <v>0</v>
      </c>
      <c r="L82" s="15">
        <v>-769.60517663150699</v>
      </c>
      <c r="M82" s="15">
        <f t="shared" si="8"/>
        <v>0</v>
      </c>
      <c r="N82" s="15">
        <v>0</v>
      </c>
      <c r="O82" s="15">
        <f t="shared" si="7"/>
        <v>0</v>
      </c>
      <c r="P82" s="36">
        <v>0</v>
      </c>
      <c r="Q82" s="15">
        <f t="shared" si="9"/>
        <v>0</v>
      </c>
      <c r="R82" s="36"/>
      <c r="S82" s="15"/>
    </row>
    <row r="83" spans="1:19" x14ac:dyDescent="0.25">
      <c r="A83" s="16" t="s">
        <v>37</v>
      </c>
      <c r="B83" s="16" t="s">
        <v>100</v>
      </c>
      <c r="C83" s="16" t="s">
        <v>101</v>
      </c>
      <c r="D83" s="16" t="s">
        <v>144</v>
      </c>
      <c r="E83" s="16" t="s">
        <v>145</v>
      </c>
      <c r="F83" s="16" t="s">
        <v>85</v>
      </c>
      <c r="G83" s="16" t="s">
        <v>40</v>
      </c>
      <c r="H83" s="16" t="s">
        <v>38</v>
      </c>
      <c r="I83" s="16" t="s">
        <v>38</v>
      </c>
      <c r="J83" s="15">
        <v>-1497870.1405907348</v>
      </c>
      <c r="K83" s="15">
        <v>-78721.355351348757</v>
      </c>
      <c r="L83" s="15">
        <v>-1210311.1549439814</v>
      </c>
      <c r="M83" s="15">
        <f t="shared" si="8"/>
        <v>-287558.98564675334</v>
      </c>
      <c r="N83" s="15">
        <v>-287558.98564675322</v>
      </c>
      <c r="O83" s="15">
        <f t="shared" si="7"/>
        <v>-287558.98564675322</v>
      </c>
      <c r="P83" s="36">
        <v>0</v>
      </c>
      <c r="Q83" s="15">
        <f t="shared" si="9"/>
        <v>-287558.98564675322</v>
      </c>
      <c r="R83" s="36"/>
      <c r="S83" s="15"/>
    </row>
    <row r="84" spans="1:19" x14ac:dyDescent="0.25">
      <c r="A84" s="16" t="s">
        <v>37</v>
      </c>
      <c r="B84" s="16" t="s">
        <v>100</v>
      </c>
      <c r="C84" s="16" t="s">
        <v>101</v>
      </c>
      <c r="D84" s="16" t="s">
        <v>144</v>
      </c>
      <c r="E84" s="16" t="s">
        <v>145</v>
      </c>
      <c r="F84" s="16" t="s">
        <v>85</v>
      </c>
      <c r="G84" s="16" t="s">
        <v>40</v>
      </c>
      <c r="H84" s="16" t="s">
        <v>130</v>
      </c>
      <c r="I84" s="16" t="s">
        <v>131</v>
      </c>
      <c r="J84" s="15">
        <v>-4230.6400000146068</v>
      </c>
      <c r="K84" s="15">
        <v>-4230.6400000146068</v>
      </c>
      <c r="L84" s="15">
        <v>0</v>
      </c>
      <c r="M84" s="15">
        <f t="shared" si="8"/>
        <v>-4230.6400000146068</v>
      </c>
      <c r="N84" s="15">
        <v>-4230.6400000146068</v>
      </c>
      <c r="O84" s="15">
        <f t="shared" si="7"/>
        <v>-4230.6400000146068</v>
      </c>
      <c r="P84" s="36">
        <v>0</v>
      </c>
      <c r="Q84" s="15">
        <f t="shared" si="9"/>
        <v>-4230.6400000146068</v>
      </c>
      <c r="R84" s="36"/>
      <c r="S84" s="15"/>
    </row>
    <row r="85" spans="1:19" x14ac:dyDescent="0.25">
      <c r="A85" s="16" t="s">
        <v>37</v>
      </c>
      <c r="B85" s="16" t="s">
        <v>100</v>
      </c>
      <c r="C85" s="16" t="s">
        <v>101</v>
      </c>
      <c r="D85" s="16" t="s">
        <v>144</v>
      </c>
      <c r="E85" s="16" t="s">
        <v>145</v>
      </c>
      <c r="F85" s="16" t="s">
        <v>85</v>
      </c>
      <c r="G85" s="16" t="s">
        <v>40</v>
      </c>
      <c r="H85" s="16" t="s">
        <v>124</v>
      </c>
      <c r="I85" s="16" t="s">
        <v>125</v>
      </c>
      <c r="J85" s="15">
        <v>-72470.272915077381</v>
      </c>
      <c r="K85" s="15">
        <v>0</v>
      </c>
      <c r="L85" s="15">
        <v>-57111.004418324505</v>
      </c>
      <c r="M85" s="15">
        <f t="shared" si="8"/>
        <v>-15359.268496752877</v>
      </c>
      <c r="N85" s="15">
        <v>0</v>
      </c>
      <c r="O85" s="15">
        <f t="shared" si="7"/>
        <v>0</v>
      </c>
      <c r="P85" s="36">
        <v>0</v>
      </c>
      <c r="Q85" s="15">
        <f t="shared" si="9"/>
        <v>0</v>
      </c>
      <c r="R85" s="36"/>
      <c r="S85" s="15"/>
    </row>
    <row r="86" spans="1:19" x14ac:dyDescent="0.25">
      <c r="A86" s="16" t="s">
        <v>37</v>
      </c>
      <c r="B86" s="16" t="s">
        <v>100</v>
      </c>
      <c r="C86" s="16" t="s">
        <v>101</v>
      </c>
      <c r="D86" s="16" t="s">
        <v>144</v>
      </c>
      <c r="E86" s="16" t="s">
        <v>145</v>
      </c>
      <c r="F86" s="16" t="s">
        <v>85</v>
      </c>
      <c r="G86" s="16" t="s">
        <v>40</v>
      </c>
      <c r="H86" s="16" t="s">
        <v>132</v>
      </c>
      <c r="I86" s="16" t="s">
        <v>133</v>
      </c>
      <c r="J86" s="15">
        <v>-260471.44024096281</v>
      </c>
      <c r="K86" s="15">
        <v>-260471.44024096281</v>
      </c>
      <c r="L86" s="15">
        <v>-260469.40999809065</v>
      </c>
      <c r="M86" s="15">
        <f t="shared" si="8"/>
        <v>-2.0302428721624892</v>
      </c>
      <c r="N86" s="15">
        <v>0</v>
      </c>
      <c r="O86" s="15">
        <f t="shared" si="7"/>
        <v>0</v>
      </c>
      <c r="P86" s="36">
        <v>0</v>
      </c>
      <c r="Q86" s="15">
        <f t="shared" si="9"/>
        <v>0</v>
      </c>
      <c r="R86" s="36"/>
      <c r="S86" s="15"/>
    </row>
    <row r="87" spans="1:19" x14ac:dyDescent="0.25">
      <c r="A87" s="16" t="s">
        <v>37</v>
      </c>
      <c r="B87" s="16" t="s">
        <v>100</v>
      </c>
      <c r="C87" s="16" t="s">
        <v>101</v>
      </c>
      <c r="D87" s="16" t="s">
        <v>144</v>
      </c>
      <c r="E87" s="16" t="s">
        <v>145</v>
      </c>
      <c r="F87" s="16" t="s">
        <v>85</v>
      </c>
      <c r="G87" s="16" t="s">
        <v>40</v>
      </c>
      <c r="H87" s="16" t="s">
        <v>64</v>
      </c>
      <c r="I87" s="16" t="s">
        <v>65</v>
      </c>
      <c r="J87" s="15">
        <v>-29718.161269990633</v>
      </c>
      <c r="K87" s="15">
        <v>0</v>
      </c>
      <c r="L87" s="15">
        <v>-24718.159960831632</v>
      </c>
      <c r="M87" s="15">
        <f t="shared" si="8"/>
        <v>-5000.0013091590008</v>
      </c>
      <c r="N87" s="15">
        <v>-5000.0013091589999</v>
      </c>
      <c r="O87" s="15">
        <f t="shared" si="7"/>
        <v>-5000.0013091589999</v>
      </c>
      <c r="P87" s="36">
        <v>0</v>
      </c>
      <c r="Q87" s="15">
        <f t="shared" si="9"/>
        <v>-5000.0013091589999</v>
      </c>
      <c r="R87" s="36"/>
      <c r="S87" s="15"/>
    </row>
    <row r="88" spans="1:19" x14ac:dyDescent="0.25">
      <c r="A88" s="16" t="s">
        <v>37</v>
      </c>
      <c r="B88" s="16" t="s">
        <v>100</v>
      </c>
      <c r="C88" s="16" t="s">
        <v>101</v>
      </c>
      <c r="D88" s="16" t="s">
        <v>144</v>
      </c>
      <c r="E88" s="16" t="s">
        <v>145</v>
      </c>
      <c r="F88" s="16" t="s">
        <v>85</v>
      </c>
      <c r="G88" s="16" t="s">
        <v>40</v>
      </c>
      <c r="H88" s="16" t="s">
        <v>66</v>
      </c>
      <c r="I88" s="16" t="s">
        <v>63</v>
      </c>
      <c r="J88" s="15">
        <v>-11716.70371377897</v>
      </c>
      <c r="K88" s="15">
        <v>-11716.70371377897</v>
      </c>
      <c r="L88" s="15">
        <v>-11716.719990065278</v>
      </c>
      <c r="M88" s="15">
        <f t="shared" si="8"/>
        <v>1.6276286307402188E-2</v>
      </c>
      <c r="N88" s="15">
        <v>0</v>
      </c>
      <c r="O88" s="15">
        <f t="shared" si="7"/>
        <v>0</v>
      </c>
      <c r="P88" s="36">
        <v>0</v>
      </c>
      <c r="Q88" s="15">
        <f t="shared" si="9"/>
        <v>0</v>
      </c>
      <c r="R88" s="36"/>
      <c r="S88" s="15"/>
    </row>
    <row r="89" spans="1:19" x14ac:dyDescent="0.25">
      <c r="A89" s="16" t="s">
        <v>37</v>
      </c>
      <c r="B89" s="16" t="s">
        <v>100</v>
      </c>
      <c r="C89" s="16" t="s">
        <v>101</v>
      </c>
      <c r="D89" s="16" t="s">
        <v>144</v>
      </c>
      <c r="E89" s="16" t="s">
        <v>145</v>
      </c>
      <c r="F89" s="16" t="s">
        <v>85</v>
      </c>
      <c r="G89" s="16" t="s">
        <v>40</v>
      </c>
      <c r="H89" s="16" t="s">
        <v>67</v>
      </c>
      <c r="I89" s="16" t="s">
        <v>68</v>
      </c>
      <c r="J89" s="15">
        <v>-1225</v>
      </c>
      <c r="K89" s="15">
        <v>0</v>
      </c>
      <c r="L89" s="15">
        <v>0</v>
      </c>
      <c r="M89" s="15">
        <f t="shared" si="8"/>
        <v>-1225</v>
      </c>
      <c r="N89" s="15">
        <v>-1225</v>
      </c>
      <c r="O89" s="15">
        <f t="shared" si="7"/>
        <v>-1225</v>
      </c>
      <c r="P89" s="36">
        <v>0</v>
      </c>
      <c r="Q89" s="15">
        <f t="shared" si="9"/>
        <v>-1225</v>
      </c>
      <c r="R89" s="36"/>
      <c r="S89" s="15"/>
    </row>
    <row r="90" spans="1:19" x14ac:dyDescent="0.25">
      <c r="A90" s="16" t="s">
        <v>37</v>
      </c>
      <c r="B90" s="16" t="s">
        <v>100</v>
      </c>
      <c r="C90" s="16" t="s">
        <v>101</v>
      </c>
      <c r="D90" s="16" t="s">
        <v>144</v>
      </c>
      <c r="E90" s="16" t="s">
        <v>145</v>
      </c>
      <c r="F90" s="16" t="s">
        <v>85</v>
      </c>
      <c r="G90" s="16" t="s">
        <v>40</v>
      </c>
      <c r="H90" s="16" t="s">
        <v>69</v>
      </c>
      <c r="I90" s="16" t="s">
        <v>70</v>
      </c>
      <c r="J90" s="15">
        <v>-3362.8713453860919</v>
      </c>
      <c r="K90" s="15">
        <v>-3362.8713453860919</v>
      </c>
      <c r="L90" s="15">
        <v>-3352.5040388748139</v>
      </c>
      <c r="M90" s="15">
        <f t="shared" si="8"/>
        <v>-10.367306511278002</v>
      </c>
      <c r="N90" s="15">
        <v>0</v>
      </c>
      <c r="O90" s="15">
        <f t="shared" si="7"/>
        <v>0</v>
      </c>
      <c r="P90" s="36">
        <v>0</v>
      </c>
      <c r="Q90" s="15">
        <f t="shared" si="9"/>
        <v>0</v>
      </c>
      <c r="R90" s="36"/>
      <c r="S90" s="15">
        <f>M90</f>
        <v>-10.367306511278002</v>
      </c>
    </row>
    <row r="91" spans="1:19" x14ac:dyDescent="0.25">
      <c r="A91" s="16" t="s">
        <v>37</v>
      </c>
      <c r="B91" s="16" t="s">
        <v>100</v>
      </c>
      <c r="C91" s="16" t="s">
        <v>101</v>
      </c>
      <c r="D91" s="16" t="s">
        <v>144</v>
      </c>
      <c r="E91" s="16" t="s">
        <v>145</v>
      </c>
      <c r="F91" s="16" t="s">
        <v>85</v>
      </c>
      <c r="G91" s="16" t="s">
        <v>40</v>
      </c>
      <c r="H91" s="16" t="s">
        <v>136</v>
      </c>
      <c r="I91" s="16" t="s">
        <v>137</v>
      </c>
      <c r="J91" s="15">
        <v>-17277.000000000011</v>
      </c>
      <c r="K91" s="15">
        <v>0</v>
      </c>
      <c r="L91" s="15">
        <v>-17277</v>
      </c>
      <c r="M91" s="15">
        <f t="shared" si="8"/>
        <v>0</v>
      </c>
      <c r="N91" s="15">
        <v>-9.4928509497549385E-12</v>
      </c>
      <c r="O91" s="15">
        <f t="shared" si="7"/>
        <v>-9.4928509497549385E-12</v>
      </c>
      <c r="P91" s="36">
        <v>0</v>
      </c>
      <c r="Q91" s="15">
        <f t="shared" si="9"/>
        <v>-9.4928509497549385E-12</v>
      </c>
      <c r="R91" s="36"/>
      <c r="S91" s="15"/>
    </row>
    <row r="92" spans="1:19" x14ac:dyDescent="0.25">
      <c r="A92" s="16" t="s">
        <v>37</v>
      </c>
      <c r="B92" s="16" t="s">
        <v>100</v>
      </c>
      <c r="C92" s="16" t="s">
        <v>101</v>
      </c>
      <c r="D92" s="16" t="s">
        <v>144</v>
      </c>
      <c r="E92" s="16" t="s">
        <v>145</v>
      </c>
      <c r="F92" s="16" t="s">
        <v>85</v>
      </c>
      <c r="G92" s="16" t="s">
        <v>40</v>
      </c>
      <c r="H92" s="16" t="s">
        <v>138</v>
      </c>
      <c r="I92" s="16" t="s">
        <v>139</v>
      </c>
      <c r="J92" s="15">
        <v>-743.93665991530111</v>
      </c>
      <c r="K92" s="15">
        <v>0</v>
      </c>
      <c r="L92" s="15">
        <v>-743.93665991530099</v>
      </c>
      <c r="M92" s="15">
        <f t="shared" si="8"/>
        <v>0</v>
      </c>
      <c r="N92" s="15">
        <v>0</v>
      </c>
      <c r="O92" s="15">
        <f t="shared" si="7"/>
        <v>0</v>
      </c>
      <c r="P92" s="36">
        <v>0</v>
      </c>
      <c r="Q92" s="15">
        <f t="shared" si="9"/>
        <v>0</v>
      </c>
      <c r="R92" s="36"/>
      <c r="S92" s="15"/>
    </row>
    <row r="93" spans="1:19" x14ac:dyDescent="0.25">
      <c r="A93" s="16" t="s">
        <v>37</v>
      </c>
      <c r="B93" s="16" t="s">
        <v>100</v>
      </c>
      <c r="C93" s="16" t="s">
        <v>101</v>
      </c>
      <c r="D93" s="16" t="s">
        <v>146</v>
      </c>
      <c r="E93" s="16" t="s">
        <v>147</v>
      </c>
      <c r="F93" s="16" t="s">
        <v>85</v>
      </c>
      <c r="G93" s="16" t="s">
        <v>40</v>
      </c>
      <c r="H93" s="16" t="s">
        <v>38</v>
      </c>
      <c r="I93" s="16" t="s">
        <v>38</v>
      </c>
      <c r="J93" s="15">
        <v>-1962287.3856637501</v>
      </c>
      <c r="K93" s="15">
        <v>-1210612.9950793893</v>
      </c>
      <c r="L93" s="15">
        <v>-1722915.3971380382</v>
      </c>
      <c r="M93" s="15">
        <f t="shared" si="8"/>
        <v>-239371.98852571193</v>
      </c>
      <c r="N93" s="15">
        <v>-239371.98852571147</v>
      </c>
      <c r="O93" s="15">
        <f>N93-P93+555</f>
        <v>-162283.14852571147</v>
      </c>
      <c r="P93" s="36">
        <v>-76533.84</v>
      </c>
      <c r="Q93" s="15">
        <f t="shared" si="9"/>
        <v>-238816.98852571147</v>
      </c>
      <c r="R93" s="36"/>
      <c r="S93" s="15"/>
    </row>
    <row r="94" spans="1:19" x14ac:dyDescent="0.25">
      <c r="A94" s="16" t="s">
        <v>37</v>
      </c>
      <c r="B94" s="16" t="s">
        <v>100</v>
      </c>
      <c r="C94" s="16" t="s">
        <v>101</v>
      </c>
      <c r="D94" s="16" t="s">
        <v>146</v>
      </c>
      <c r="E94" s="16" t="s">
        <v>147</v>
      </c>
      <c r="F94" s="16" t="s">
        <v>85</v>
      </c>
      <c r="G94" s="16" t="s">
        <v>40</v>
      </c>
      <c r="H94" s="16" t="s">
        <v>142</v>
      </c>
      <c r="I94" s="16" t="s">
        <v>143</v>
      </c>
      <c r="J94" s="15">
        <v>-4258.0300000000007</v>
      </c>
      <c r="K94" s="15">
        <v>0</v>
      </c>
      <c r="L94" s="15">
        <v>0</v>
      </c>
      <c r="M94" s="15">
        <f t="shared" si="8"/>
        <v>-4258.0300000000007</v>
      </c>
      <c r="N94" s="15">
        <v>-4258.0300000000007</v>
      </c>
      <c r="O94" s="15">
        <f t="shared" ref="O94:O125" si="10">N94-P94</f>
        <v>-4258.0300000000007</v>
      </c>
      <c r="P94" s="36">
        <v>0</v>
      </c>
      <c r="Q94" s="15">
        <f t="shared" si="9"/>
        <v>-4258.0300000000007</v>
      </c>
      <c r="R94" s="36"/>
      <c r="S94" s="15"/>
    </row>
    <row r="95" spans="1:19" x14ac:dyDescent="0.25">
      <c r="A95" s="16" t="s">
        <v>37</v>
      </c>
      <c r="B95" s="16" t="s">
        <v>100</v>
      </c>
      <c r="C95" s="16" t="s">
        <v>101</v>
      </c>
      <c r="D95" s="16" t="s">
        <v>146</v>
      </c>
      <c r="E95" s="16" t="s">
        <v>147</v>
      </c>
      <c r="F95" s="16" t="s">
        <v>85</v>
      </c>
      <c r="G95" s="16" t="s">
        <v>40</v>
      </c>
      <c r="H95" s="16" t="s">
        <v>130</v>
      </c>
      <c r="I95" s="16" t="s">
        <v>131</v>
      </c>
      <c r="J95" s="15">
        <v>-2230.9300000077028</v>
      </c>
      <c r="K95" s="15">
        <v>-2230.9300000077028</v>
      </c>
      <c r="L95" s="15">
        <v>0</v>
      </c>
      <c r="M95" s="15">
        <f t="shared" si="8"/>
        <v>-2230.9300000077028</v>
      </c>
      <c r="N95" s="15">
        <v>-2230.9300000077028</v>
      </c>
      <c r="O95" s="15">
        <f t="shared" si="10"/>
        <v>-2230.9300000077028</v>
      </c>
      <c r="P95" s="36">
        <v>0</v>
      </c>
      <c r="Q95" s="15">
        <f t="shared" si="9"/>
        <v>-2230.9300000077028</v>
      </c>
      <c r="R95" s="36"/>
      <c r="S95" s="15"/>
    </row>
    <row r="96" spans="1:19" x14ac:dyDescent="0.25">
      <c r="A96" s="16" t="s">
        <v>37</v>
      </c>
      <c r="B96" s="16" t="s">
        <v>100</v>
      </c>
      <c r="C96" s="16" t="s">
        <v>101</v>
      </c>
      <c r="D96" s="16" t="s">
        <v>146</v>
      </c>
      <c r="E96" s="16" t="s">
        <v>147</v>
      </c>
      <c r="F96" s="16" t="s">
        <v>85</v>
      </c>
      <c r="G96" s="16" t="s">
        <v>40</v>
      </c>
      <c r="H96" s="16" t="s">
        <v>124</v>
      </c>
      <c r="I96" s="16" t="s">
        <v>125</v>
      </c>
      <c r="J96" s="15">
        <v>-31784.011411353546</v>
      </c>
      <c r="K96" s="15">
        <v>0</v>
      </c>
      <c r="L96" s="15">
        <v>-26552.546813900186</v>
      </c>
      <c r="M96" s="15">
        <f t="shared" si="8"/>
        <v>-5231.4645974533596</v>
      </c>
      <c r="N96" s="15">
        <v>0</v>
      </c>
      <c r="O96" s="15">
        <f t="shared" si="10"/>
        <v>0</v>
      </c>
      <c r="P96" s="36">
        <v>0</v>
      </c>
      <c r="Q96" s="15">
        <f t="shared" si="9"/>
        <v>0</v>
      </c>
      <c r="R96" s="36"/>
      <c r="S96" s="15"/>
    </row>
    <row r="97" spans="1:19" x14ac:dyDescent="0.25">
      <c r="A97" s="16" t="s">
        <v>37</v>
      </c>
      <c r="B97" s="16" t="s">
        <v>100</v>
      </c>
      <c r="C97" s="16" t="s">
        <v>101</v>
      </c>
      <c r="D97" s="16" t="s">
        <v>146</v>
      </c>
      <c r="E97" s="16" t="s">
        <v>147</v>
      </c>
      <c r="F97" s="16" t="s">
        <v>85</v>
      </c>
      <c r="G97" s="16" t="s">
        <v>40</v>
      </c>
      <c r="H97" s="16" t="s">
        <v>132</v>
      </c>
      <c r="I97" s="16" t="s">
        <v>133</v>
      </c>
      <c r="J97" s="15">
        <v>-6342.182040569498</v>
      </c>
      <c r="K97" s="15">
        <v>-6342.182040569498</v>
      </c>
      <c r="L97" s="15">
        <v>-6342.1799988433522</v>
      </c>
      <c r="M97" s="15">
        <f t="shared" si="8"/>
        <v>-2.0417261457623681E-3</v>
      </c>
      <c r="N97" s="15">
        <v>0</v>
      </c>
      <c r="O97" s="15">
        <f t="shared" si="10"/>
        <v>0</v>
      </c>
      <c r="P97" s="36">
        <v>0</v>
      </c>
      <c r="Q97" s="15">
        <f t="shared" si="9"/>
        <v>0</v>
      </c>
      <c r="R97" s="36"/>
      <c r="S97" s="15"/>
    </row>
    <row r="98" spans="1:19" x14ac:dyDescent="0.25">
      <c r="A98" s="16" t="s">
        <v>37</v>
      </c>
      <c r="B98" s="16" t="s">
        <v>100</v>
      </c>
      <c r="C98" s="16" t="s">
        <v>101</v>
      </c>
      <c r="D98" s="16" t="s">
        <v>146</v>
      </c>
      <c r="E98" s="16" t="s">
        <v>147</v>
      </c>
      <c r="F98" s="16" t="s">
        <v>85</v>
      </c>
      <c r="G98" s="16" t="s">
        <v>40</v>
      </c>
      <c r="H98" s="16" t="s">
        <v>64</v>
      </c>
      <c r="I98" s="16" t="s">
        <v>65</v>
      </c>
      <c r="J98" s="15">
        <v>-14581.47458308971</v>
      </c>
      <c r="K98" s="15">
        <v>0</v>
      </c>
      <c r="L98" s="15">
        <v>-12652.309979951162</v>
      </c>
      <c r="M98" s="15">
        <f t="shared" si="8"/>
        <v>-1929.164603138548</v>
      </c>
      <c r="N98" s="15">
        <v>-1929.1646031385471</v>
      </c>
      <c r="O98" s="15">
        <f t="shared" si="10"/>
        <v>-1929.1646031385471</v>
      </c>
      <c r="P98" s="36">
        <v>0</v>
      </c>
      <c r="Q98" s="15">
        <f t="shared" si="9"/>
        <v>-1929.1646031385471</v>
      </c>
      <c r="R98" s="36"/>
      <c r="S98" s="15"/>
    </row>
    <row r="99" spans="1:19" x14ac:dyDescent="0.25">
      <c r="A99" s="16" t="s">
        <v>37</v>
      </c>
      <c r="B99" s="16" t="s">
        <v>100</v>
      </c>
      <c r="C99" s="16" t="s">
        <v>101</v>
      </c>
      <c r="D99" s="16" t="s">
        <v>146</v>
      </c>
      <c r="E99" s="16" t="s">
        <v>147</v>
      </c>
      <c r="F99" s="16" t="s">
        <v>85</v>
      </c>
      <c r="G99" s="16" t="s">
        <v>40</v>
      </c>
      <c r="H99" s="16" t="s">
        <v>66</v>
      </c>
      <c r="I99" s="16" t="s">
        <v>63</v>
      </c>
      <c r="J99" s="15">
        <v>-9259.9187166651645</v>
      </c>
      <c r="K99" s="15">
        <v>-9259.9187166651645</v>
      </c>
      <c r="L99" s="15">
        <v>-9259.9199921484251</v>
      </c>
      <c r="M99" s="15">
        <f t="shared" si="8"/>
        <v>1.2754832605423871E-3</v>
      </c>
      <c r="N99" s="15">
        <v>0</v>
      </c>
      <c r="O99" s="15">
        <f t="shared" si="10"/>
        <v>0</v>
      </c>
      <c r="P99" s="36">
        <v>0</v>
      </c>
      <c r="Q99" s="15">
        <f t="shared" si="9"/>
        <v>0</v>
      </c>
      <c r="R99" s="36"/>
      <c r="S99" s="15"/>
    </row>
    <row r="100" spans="1:19" x14ac:dyDescent="0.25">
      <c r="A100" s="16" t="s">
        <v>37</v>
      </c>
      <c r="B100" s="16" t="s">
        <v>100</v>
      </c>
      <c r="C100" s="16" t="s">
        <v>101</v>
      </c>
      <c r="D100" s="16" t="s">
        <v>146</v>
      </c>
      <c r="E100" s="16" t="s">
        <v>147</v>
      </c>
      <c r="F100" s="16" t="s">
        <v>85</v>
      </c>
      <c r="G100" s="16" t="s">
        <v>40</v>
      </c>
      <c r="H100" s="16" t="s">
        <v>67</v>
      </c>
      <c r="I100" s="16" t="s">
        <v>68</v>
      </c>
      <c r="J100" s="15">
        <v>-2725</v>
      </c>
      <c r="K100" s="15">
        <v>0</v>
      </c>
      <c r="L100" s="15">
        <v>0</v>
      </c>
      <c r="M100" s="15">
        <f t="shared" si="8"/>
        <v>-2725</v>
      </c>
      <c r="N100" s="15">
        <v>-2725</v>
      </c>
      <c r="O100" s="15">
        <f t="shared" si="10"/>
        <v>-2725</v>
      </c>
      <c r="P100" s="36">
        <v>0</v>
      </c>
      <c r="Q100" s="15">
        <f t="shared" si="9"/>
        <v>-2725</v>
      </c>
      <c r="R100" s="36"/>
      <c r="S100" s="15"/>
    </row>
    <row r="101" spans="1:19" x14ac:dyDescent="0.25">
      <c r="A101" s="16" t="s">
        <v>37</v>
      </c>
      <c r="B101" s="16" t="s">
        <v>100</v>
      </c>
      <c r="C101" s="16" t="s">
        <v>101</v>
      </c>
      <c r="D101" s="16" t="s">
        <v>146</v>
      </c>
      <c r="E101" s="16" t="s">
        <v>147</v>
      </c>
      <c r="F101" s="16" t="s">
        <v>85</v>
      </c>
      <c r="G101" s="16" t="s">
        <v>40</v>
      </c>
      <c r="H101" s="16" t="s">
        <v>69</v>
      </c>
      <c r="I101" s="16" t="s">
        <v>70</v>
      </c>
      <c r="J101" s="15">
        <v>-2502.5098830954807</v>
      </c>
      <c r="K101" s="15">
        <v>-2502.5098831964806</v>
      </c>
      <c r="L101" s="15">
        <v>-2516.911773824505</v>
      </c>
      <c r="M101" s="15">
        <f t="shared" si="8"/>
        <v>14.401890729024217</v>
      </c>
      <c r="N101" s="15">
        <v>0</v>
      </c>
      <c r="O101" s="15">
        <f t="shared" si="10"/>
        <v>0</v>
      </c>
      <c r="P101" s="36">
        <v>0</v>
      </c>
      <c r="Q101" s="15">
        <f t="shared" si="9"/>
        <v>0</v>
      </c>
      <c r="R101" s="36"/>
      <c r="S101" s="15">
        <f>M101</f>
        <v>14.401890729024217</v>
      </c>
    </row>
    <row r="102" spans="1:19" x14ac:dyDescent="0.25">
      <c r="A102" s="16" t="s">
        <v>37</v>
      </c>
      <c r="B102" s="16" t="s">
        <v>100</v>
      </c>
      <c r="C102" s="16" t="s">
        <v>101</v>
      </c>
      <c r="D102" s="16" t="s">
        <v>146</v>
      </c>
      <c r="E102" s="16" t="s">
        <v>147</v>
      </c>
      <c r="F102" s="16" t="s">
        <v>85</v>
      </c>
      <c r="G102" s="16" t="s">
        <v>40</v>
      </c>
      <c r="H102" s="16" t="s">
        <v>136</v>
      </c>
      <c r="I102" s="16" t="s">
        <v>137</v>
      </c>
      <c r="J102" s="15">
        <v>-15150.600000000011</v>
      </c>
      <c r="K102" s="15">
        <v>0</v>
      </c>
      <c r="L102" s="15">
        <v>-15150.6</v>
      </c>
      <c r="M102" s="15">
        <f t="shared" si="8"/>
        <v>0</v>
      </c>
      <c r="N102" s="15">
        <v>-1.0913936421275139E-11</v>
      </c>
      <c r="O102" s="15">
        <f t="shared" si="10"/>
        <v>-1.0913936421275139E-11</v>
      </c>
      <c r="P102" s="36">
        <v>0</v>
      </c>
      <c r="Q102" s="15">
        <f t="shared" si="9"/>
        <v>-1.0913936421275139E-11</v>
      </c>
      <c r="R102" s="36"/>
      <c r="S102" s="15"/>
    </row>
    <row r="103" spans="1:19" x14ac:dyDescent="0.25">
      <c r="A103" s="16" t="s">
        <v>37</v>
      </c>
      <c r="B103" s="16" t="s">
        <v>100</v>
      </c>
      <c r="C103" s="16" t="s">
        <v>101</v>
      </c>
      <c r="D103" s="16" t="s">
        <v>146</v>
      </c>
      <c r="E103" s="16" t="s">
        <v>147</v>
      </c>
      <c r="F103" s="16" t="s">
        <v>85</v>
      </c>
      <c r="G103" s="16" t="s">
        <v>40</v>
      </c>
      <c r="H103" s="16" t="s">
        <v>138</v>
      </c>
      <c r="I103" s="16" t="s">
        <v>139</v>
      </c>
      <c r="J103" s="15">
        <v>-283.7046584422759</v>
      </c>
      <c r="K103" s="15">
        <v>0</v>
      </c>
      <c r="L103" s="15">
        <v>-283.7046584422759</v>
      </c>
      <c r="M103" s="15">
        <f t="shared" si="8"/>
        <v>0</v>
      </c>
      <c r="N103" s="15">
        <v>0</v>
      </c>
      <c r="O103" s="15">
        <f t="shared" si="10"/>
        <v>0</v>
      </c>
      <c r="P103" s="36">
        <v>0</v>
      </c>
      <c r="Q103" s="15">
        <f t="shared" si="9"/>
        <v>0</v>
      </c>
      <c r="R103" s="36"/>
      <c r="S103" s="15"/>
    </row>
    <row r="104" spans="1:19" x14ac:dyDescent="0.25">
      <c r="A104" s="16" t="s">
        <v>37</v>
      </c>
      <c r="B104" s="16" t="s">
        <v>100</v>
      </c>
      <c r="C104" s="16" t="s">
        <v>101</v>
      </c>
      <c r="D104" s="16" t="s">
        <v>148</v>
      </c>
      <c r="E104" s="16" t="s">
        <v>149</v>
      </c>
      <c r="F104" s="16" t="s">
        <v>85</v>
      </c>
      <c r="G104" s="16" t="s">
        <v>40</v>
      </c>
      <c r="H104" s="16" t="s">
        <v>38</v>
      </c>
      <c r="I104" s="16" t="s">
        <v>38</v>
      </c>
      <c r="J104" s="15">
        <v>-1071405.3757500635</v>
      </c>
      <c r="K104" s="15">
        <v>-92069.644025516303</v>
      </c>
      <c r="L104" s="15">
        <v>-829887.19892806292</v>
      </c>
      <c r="M104" s="15">
        <f t="shared" si="8"/>
        <v>-241518.17682200053</v>
      </c>
      <c r="N104" s="15">
        <v>-241518.17682200065</v>
      </c>
      <c r="O104" s="15">
        <f t="shared" si="10"/>
        <v>-241518.17682200065</v>
      </c>
      <c r="P104" s="36">
        <v>0</v>
      </c>
      <c r="Q104" s="15">
        <f t="shared" si="9"/>
        <v>-241518.17682200065</v>
      </c>
      <c r="R104" s="36"/>
      <c r="S104" s="15"/>
    </row>
    <row r="105" spans="1:19" x14ac:dyDescent="0.25">
      <c r="A105" s="16" t="s">
        <v>37</v>
      </c>
      <c r="B105" s="16" t="s">
        <v>100</v>
      </c>
      <c r="C105" s="16" t="s">
        <v>101</v>
      </c>
      <c r="D105" s="16" t="s">
        <v>148</v>
      </c>
      <c r="E105" s="16" t="s">
        <v>149</v>
      </c>
      <c r="F105" s="16" t="s">
        <v>85</v>
      </c>
      <c r="G105" s="16" t="s">
        <v>40</v>
      </c>
      <c r="H105" s="16" t="s">
        <v>130</v>
      </c>
      <c r="I105" s="16" t="s">
        <v>131</v>
      </c>
      <c r="J105" s="15">
        <v>-2983.7500000103009</v>
      </c>
      <c r="K105" s="15">
        <v>-2983.7500000103009</v>
      </c>
      <c r="L105" s="15">
        <v>0</v>
      </c>
      <c r="M105" s="15">
        <f t="shared" si="8"/>
        <v>-2983.7500000103009</v>
      </c>
      <c r="N105" s="15">
        <v>-2983.7500000103009</v>
      </c>
      <c r="O105" s="15">
        <f t="shared" si="10"/>
        <v>-2983.7500000103009</v>
      </c>
      <c r="P105" s="36">
        <v>0</v>
      </c>
      <c r="Q105" s="15">
        <f t="shared" si="9"/>
        <v>-2983.7500000103009</v>
      </c>
      <c r="R105" s="36"/>
      <c r="S105" s="15"/>
    </row>
    <row r="106" spans="1:19" x14ac:dyDescent="0.25">
      <c r="A106" s="16" t="s">
        <v>37</v>
      </c>
      <c r="B106" s="16" t="s">
        <v>100</v>
      </c>
      <c r="C106" s="16" t="s">
        <v>101</v>
      </c>
      <c r="D106" s="16" t="s">
        <v>148</v>
      </c>
      <c r="E106" s="16" t="s">
        <v>149</v>
      </c>
      <c r="F106" s="16" t="s">
        <v>85</v>
      </c>
      <c r="G106" s="16" t="s">
        <v>40</v>
      </c>
      <c r="H106" s="16" t="s">
        <v>124</v>
      </c>
      <c r="I106" s="16" t="s">
        <v>125</v>
      </c>
      <c r="J106" s="15">
        <v>-84356.42297620399</v>
      </c>
      <c r="K106" s="15">
        <v>0</v>
      </c>
      <c r="L106" s="15">
        <v>-67664.951357853337</v>
      </c>
      <c r="M106" s="15">
        <f t="shared" si="8"/>
        <v>-16691.471618350653</v>
      </c>
      <c r="N106" s="15">
        <v>0</v>
      </c>
      <c r="O106" s="15">
        <f t="shared" si="10"/>
        <v>0</v>
      </c>
      <c r="P106" s="36">
        <v>0</v>
      </c>
      <c r="Q106" s="15">
        <f t="shared" si="9"/>
        <v>0</v>
      </c>
      <c r="R106" s="36"/>
      <c r="S106" s="15"/>
    </row>
    <row r="107" spans="1:19" x14ac:dyDescent="0.25">
      <c r="A107" s="16" t="s">
        <v>37</v>
      </c>
      <c r="B107" s="16" t="s">
        <v>100</v>
      </c>
      <c r="C107" s="16" t="s">
        <v>101</v>
      </c>
      <c r="D107" s="16" t="s">
        <v>148</v>
      </c>
      <c r="E107" s="16" t="s">
        <v>149</v>
      </c>
      <c r="F107" s="16" t="s">
        <v>85</v>
      </c>
      <c r="G107" s="16" t="s">
        <v>40</v>
      </c>
      <c r="H107" s="16" t="s">
        <v>132</v>
      </c>
      <c r="I107" s="16" t="s">
        <v>133</v>
      </c>
      <c r="J107" s="15">
        <v>-10752.880439504046</v>
      </c>
      <c r="K107" s="15">
        <v>-10752.880439504046</v>
      </c>
      <c r="L107" s="15">
        <v>-10752.879998038958</v>
      </c>
      <c r="M107" s="15">
        <f t="shared" si="8"/>
        <v>-4.4146508844278287E-4</v>
      </c>
      <c r="N107" s="15">
        <v>0</v>
      </c>
      <c r="O107" s="15">
        <f t="shared" si="10"/>
        <v>0</v>
      </c>
      <c r="P107" s="36">
        <v>0</v>
      </c>
      <c r="Q107" s="15">
        <f t="shared" si="9"/>
        <v>0</v>
      </c>
      <c r="R107" s="36"/>
      <c r="S107" s="15"/>
    </row>
    <row r="108" spans="1:19" x14ac:dyDescent="0.25">
      <c r="A108" s="16" t="s">
        <v>37</v>
      </c>
      <c r="B108" s="16" t="s">
        <v>100</v>
      </c>
      <c r="C108" s="16" t="s">
        <v>101</v>
      </c>
      <c r="D108" s="16" t="s">
        <v>148</v>
      </c>
      <c r="E108" s="16" t="s">
        <v>149</v>
      </c>
      <c r="F108" s="16" t="s">
        <v>85</v>
      </c>
      <c r="G108" s="16" t="s">
        <v>40</v>
      </c>
      <c r="H108" s="16" t="s">
        <v>64</v>
      </c>
      <c r="I108" s="16" t="s">
        <v>65</v>
      </c>
      <c r="J108" s="15">
        <v>-18176.756525245553</v>
      </c>
      <c r="K108" s="15">
        <v>0</v>
      </c>
      <c r="L108" s="15">
        <v>-16176.759974366323</v>
      </c>
      <c r="M108" s="15">
        <f t="shared" si="8"/>
        <v>-1999.9965508792302</v>
      </c>
      <c r="N108" s="15">
        <v>-1999.9965508792272</v>
      </c>
      <c r="O108" s="15">
        <f t="shared" si="10"/>
        <v>-1999.9965508792272</v>
      </c>
      <c r="P108" s="36">
        <v>0</v>
      </c>
      <c r="Q108" s="15">
        <f t="shared" si="9"/>
        <v>-1999.9965508792272</v>
      </c>
      <c r="R108" s="36"/>
      <c r="S108" s="15"/>
    </row>
    <row r="109" spans="1:19" x14ac:dyDescent="0.25">
      <c r="A109" s="16" t="s">
        <v>37</v>
      </c>
      <c r="B109" s="16" t="s">
        <v>100</v>
      </c>
      <c r="C109" s="16" t="s">
        <v>101</v>
      </c>
      <c r="D109" s="16" t="s">
        <v>148</v>
      </c>
      <c r="E109" s="16" t="s">
        <v>149</v>
      </c>
      <c r="F109" s="16" t="s">
        <v>85</v>
      </c>
      <c r="G109" s="16" t="s">
        <v>40</v>
      </c>
      <c r="H109" s="16" t="s">
        <v>66</v>
      </c>
      <c r="I109" s="16" t="s">
        <v>63</v>
      </c>
      <c r="J109" s="15">
        <v>-9034.5842188553943</v>
      </c>
      <c r="K109" s="15">
        <v>-9034.5842188553943</v>
      </c>
      <c r="L109" s="15">
        <v>-9034.5799923394916</v>
      </c>
      <c r="M109" s="15">
        <f t="shared" si="8"/>
        <v>-4.2265159027010668E-3</v>
      </c>
      <c r="N109" s="15">
        <v>0</v>
      </c>
      <c r="O109" s="15">
        <f t="shared" si="10"/>
        <v>0</v>
      </c>
      <c r="P109" s="36">
        <v>0</v>
      </c>
      <c r="Q109" s="15">
        <f t="shared" si="9"/>
        <v>0</v>
      </c>
      <c r="R109" s="36"/>
      <c r="S109" s="15"/>
    </row>
    <row r="110" spans="1:19" x14ac:dyDescent="0.25">
      <c r="A110" s="16" t="s">
        <v>37</v>
      </c>
      <c r="B110" s="16" t="s">
        <v>100</v>
      </c>
      <c r="C110" s="16" t="s">
        <v>101</v>
      </c>
      <c r="D110" s="16" t="s">
        <v>148</v>
      </c>
      <c r="E110" s="16" t="s">
        <v>149</v>
      </c>
      <c r="F110" s="16" t="s">
        <v>85</v>
      </c>
      <c r="G110" s="16" t="s">
        <v>40</v>
      </c>
      <c r="H110" s="16" t="s">
        <v>67</v>
      </c>
      <c r="I110" s="16" t="s">
        <v>68</v>
      </c>
      <c r="J110" s="15">
        <v>-1120</v>
      </c>
      <c r="K110" s="15">
        <v>0</v>
      </c>
      <c r="L110" s="15">
        <v>0</v>
      </c>
      <c r="M110" s="15">
        <f t="shared" si="8"/>
        <v>-1120</v>
      </c>
      <c r="N110" s="15">
        <v>-1120</v>
      </c>
      <c r="O110" s="15">
        <f t="shared" si="10"/>
        <v>-1120</v>
      </c>
      <c r="P110" s="36">
        <v>0</v>
      </c>
      <c r="Q110" s="15">
        <f t="shared" si="9"/>
        <v>-1120</v>
      </c>
      <c r="R110" s="36"/>
      <c r="S110" s="15"/>
    </row>
    <row r="111" spans="1:19" x14ac:dyDescent="0.25">
      <c r="A111" s="16" t="s">
        <v>37</v>
      </c>
      <c r="B111" s="16" t="s">
        <v>100</v>
      </c>
      <c r="C111" s="16" t="s">
        <v>101</v>
      </c>
      <c r="D111" s="16" t="s">
        <v>148</v>
      </c>
      <c r="E111" s="16" t="s">
        <v>149</v>
      </c>
      <c r="F111" s="16" t="s">
        <v>85</v>
      </c>
      <c r="G111" s="16" t="s">
        <v>40</v>
      </c>
      <c r="H111" s="16" t="s">
        <v>69</v>
      </c>
      <c r="I111" s="16" t="s">
        <v>70</v>
      </c>
      <c r="J111" s="15">
        <v>-1020.0641469607134</v>
      </c>
      <c r="K111" s="15">
        <v>-1020.0641469607134</v>
      </c>
      <c r="L111" s="15">
        <v>-1010.623265134062</v>
      </c>
      <c r="M111" s="15">
        <f t="shared" si="8"/>
        <v>-9.4408818266514345</v>
      </c>
      <c r="N111" s="15">
        <v>0</v>
      </c>
      <c r="O111" s="15">
        <f t="shared" si="10"/>
        <v>0</v>
      </c>
      <c r="P111" s="36">
        <v>0</v>
      </c>
      <c r="Q111" s="15">
        <f t="shared" si="9"/>
        <v>0</v>
      </c>
      <c r="R111" s="36"/>
      <c r="S111" s="15">
        <f>M111</f>
        <v>-9.4408818266514345</v>
      </c>
    </row>
    <row r="112" spans="1:19" x14ac:dyDescent="0.25">
      <c r="A112" s="16" t="s">
        <v>37</v>
      </c>
      <c r="B112" s="16" t="s">
        <v>100</v>
      </c>
      <c r="C112" s="16" t="s">
        <v>101</v>
      </c>
      <c r="D112" s="16" t="s">
        <v>148</v>
      </c>
      <c r="E112" s="16" t="s">
        <v>149</v>
      </c>
      <c r="F112" s="16" t="s">
        <v>85</v>
      </c>
      <c r="G112" s="16" t="s">
        <v>40</v>
      </c>
      <c r="H112" s="16" t="s">
        <v>136</v>
      </c>
      <c r="I112" s="16" t="s">
        <v>137</v>
      </c>
      <c r="J112" s="15">
        <v>-15150.600000000011</v>
      </c>
      <c r="K112" s="15">
        <v>0</v>
      </c>
      <c r="L112" s="15">
        <v>-15150.6</v>
      </c>
      <c r="M112" s="15">
        <f t="shared" si="8"/>
        <v>0</v>
      </c>
      <c r="N112" s="15">
        <v>-1.0118128557223827E-11</v>
      </c>
      <c r="O112" s="15">
        <f t="shared" si="10"/>
        <v>-1.0118128557223827E-11</v>
      </c>
      <c r="P112" s="36">
        <v>0</v>
      </c>
      <c r="Q112" s="15">
        <f t="shared" si="9"/>
        <v>-1.0118128557223827E-11</v>
      </c>
      <c r="R112" s="36"/>
      <c r="S112" s="15"/>
    </row>
    <row r="113" spans="1:19" x14ac:dyDescent="0.25">
      <c r="A113" s="16" t="s">
        <v>37</v>
      </c>
      <c r="B113" s="16" t="s">
        <v>100</v>
      </c>
      <c r="C113" s="16" t="s">
        <v>101</v>
      </c>
      <c r="D113" s="16" t="s">
        <v>148</v>
      </c>
      <c r="E113" s="16" t="s">
        <v>149</v>
      </c>
      <c r="F113" s="16" t="s">
        <v>85</v>
      </c>
      <c r="G113" s="16" t="s">
        <v>40</v>
      </c>
      <c r="H113" s="16" t="s">
        <v>138</v>
      </c>
      <c r="I113" s="16" t="s">
        <v>139</v>
      </c>
      <c r="J113" s="15">
        <v>-929.92082489412621</v>
      </c>
      <c r="K113" s="15">
        <v>0</v>
      </c>
      <c r="L113" s="15">
        <v>-929.92082489412633</v>
      </c>
      <c r="M113" s="15">
        <f t="shared" si="8"/>
        <v>0</v>
      </c>
      <c r="N113" s="15">
        <v>0</v>
      </c>
      <c r="O113" s="15">
        <f t="shared" si="10"/>
        <v>0</v>
      </c>
      <c r="P113" s="36">
        <v>0</v>
      </c>
      <c r="Q113" s="15">
        <f t="shared" si="9"/>
        <v>0</v>
      </c>
      <c r="R113" s="36"/>
      <c r="S113" s="15"/>
    </row>
    <row r="114" spans="1:19" x14ac:dyDescent="0.25">
      <c r="A114" s="16" t="s">
        <v>37</v>
      </c>
      <c r="B114" s="16" t="s">
        <v>100</v>
      </c>
      <c r="C114" s="16" t="s">
        <v>101</v>
      </c>
      <c r="D114" s="16" t="s">
        <v>150</v>
      </c>
      <c r="E114" s="16" t="s">
        <v>151</v>
      </c>
      <c r="F114" s="16" t="s">
        <v>85</v>
      </c>
      <c r="G114" s="16" t="s">
        <v>40</v>
      </c>
      <c r="H114" s="16" t="s">
        <v>38</v>
      </c>
      <c r="I114" s="16" t="s">
        <v>38</v>
      </c>
      <c r="J114" s="15">
        <v>-2889095.1342666289</v>
      </c>
      <c r="K114" s="15">
        <v>-394546.18111103622</v>
      </c>
      <c r="L114" s="15">
        <v>-2053908.4810008015</v>
      </c>
      <c r="M114" s="15">
        <f t="shared" si="8"/>
        <v>-835186.65326582734</v>
      </c>
      <c r="N114" s="15">
        <v>-835186.65</v>
      </c>
      <c r="O114" s="15">
        <f>N114-P114-293500</f>
        <v>-1127021</v>
      </c>
      <c r="P114" s="36">
        <v>-1665.65</v>
      </c>
      <c r="Q114" s="15">
        <f t="shared" si="9"/>
        <v>-1128686.6499999999</v>
      </c>
      <c r="R114" s="36"/>
      <c r="S114" s="15"/>
    </row>
    <row r="115" spans="1:19" x14ac:dyDescent="0.25">
      <c r="A115" s="16" t="s">
        <v>37</v>
      </c>
      <c r="B115" s="16" t="s">
        <v>100</v>
      </c>
      <c r="C115" s="16" t="s">
        <v>101</v>
      </c>
      <c r="D115" s="16" t="s">
        <v>150</v>
      </c>
      <c r="E115" s="16" t="s">
        <v>151</v>
      </c>
      <c r="F115" s="16" t="s">
        <v>85</v>
      </c>
      <c r="G115" s="16" t="s">
        <v>40</v>
      </c>
      <c r="H115" s="16" t="s">
        <v>142</v>
      </c>
      <c r="I115" s="16" t="s">
        <v>143</v>
      </c>
      <c r="J115" s="15">
        <v>-4258.0300000000007</v>
      </c>
      <c r="K115" s="15">
        <v>0</v>
      </c>
      <c r="L115" s="15">
        <v>0</v>
      </c>
      <c r="M115" s="15">
        <f t="shared" si="8"/>
        <v>-4258.0300000000007</v>
      </c>
      <c r="N115" s="15">
        <v>-4258.0300000000007</v>
      </c>
      <c r="O115" s="15">
        <f t="shared" si="10"/>
        <v>-4258.0300000000007</v>
      </c>
      <c r="P115" s="36">
        <v>0</v>
      </c>
      <c r="Q115" s="15">
        <f t="shared" si="9"/>
        <v>-4258.0300000000007</v>
      </c>
      <c r="R115" s="36"/>
      <c r="S115" s="15"/>
    </row>
    <row r="116" spans="1:19" x14ac:dyDescent="0.25">
      <c r="A116" s="16" t="s">
        <v>37</v>
      </c>
      <c r="B116" s="16" t="s">
        <v>100</v>
      </c>
      <c r="C116" s="16" t="s">
        <v>101</v>
      </c>
      <c r="D116" s="16" t="s">
        <v>150</v>
      </c>
      <c r="E116" s="16" t="s">
        <v>151</v>
      </c>
      <c r="F116" s="16" t="s">
        <v>85</v>
      </c>
      <c r="G116" s="16" t="s">
        <v>40</v>
      </c>
      <c r="H116" s="16" t="s">
        <v>130</v>
      </c>
      <c r="I116" s="16" t="s">
        <v>131</v>
      </c>
      <c r="J116" s="15">
        <v>-4177.2000000144217</v>
      </c>
      <c r="K116" s="15">
        <v>-4177.2000000144217</v>
      </c>
      <c r="L116" s="15">
        <v>0</v>
      </c>
      <c r="M116" s="15">
        <f t="shared" si="8"/>
        <v>-4177.2000000144217</v>
      </c>
      <c r="N116" s="15">
        <v>-4177.2000000144217</v>
      </c>
      <c r="O116" s="15">
        <f t="shared" si="10"/>
        <v>-4177.2000000144217</v>
      </c>
      <c r="P116" s="36">
        <v>0</v>
      </c>
      <c r="Q116" s="15">
        <f t="shared" si="9"/>
        <v>-4177.2000000144217</v>
      </c>
      <c r="R116" s="36"/>
      <c r="S116" s="15"/>
    </row>
    <row r="117" spans="1:19" x14ac:dyDescent="0.25">
      <c r="A117" s="16" t="s">
        <v>37</v>
      </c>
      <c r="B117" s="16" t="s">
        <v>100</v>
      </c>
      <c r="C117" s="16" t="s">
        <v>101</v>
      </c>
      <c r="D117" s="16" t="s">
        <v>150</v>
      </c>
      <c r="E117" s="16" t="s">
        <v>151</v>
      </c>
      <c r="F117" s="16" t="s">
        <v>85</v>
      </c>
      <c r="G117" s="16" t="s">
        <v>40</v>
      </c>
      <c r="H117" s="16" t="s">
        <v>124</v>
      </c>
      <c r="I117" s="16" t="s">
        <v>125</v>
      </c>
      <c r="J117" s="15">
        <v>-72481.708208016033</v>
      </c>
      <c r="K117" s="15">
        <v>0</v>
      </c>
      <c r="L117" s="15">
        <v>-57963.247417642204</v>
      </c>
      <c r="M117" s="15">
        <f t="shared" si="8"/>
        <v>-14518.460790373829</v>
      </c>
      <c r="N117" s="15">
        <v>0</v>
      </c>
      <c r="O117" s="15">
        <f t="shared" si="10"/>
        <v>0</v>
      </c>
      <c r="P117" s="36">
        <v>0</v>
      </c>
      <c r="Q117" s="15">
        <f t="shared" si="9"/>
        <v>0</v>
      </c>
      <c r="R117" s="36"/>
      <c r="S117" s="15"/>
    </row>
    <row r="118" spans="1:19" x14ac:dyDescent="0.25">
      <c r="A118" s="16" t="s">
        <v>37</v>
      </c>
      <c r="B118" s="16" t="s">
        <v>100</v>
      </c>
      <c r="C118" s="16" t="s">
        <v>101</v>
      </c>
      <c r="D118" s="16" t="s">
        <v>150</v>
      </c>
      <c r="E118" s="16" t="s">
        <v>151</v>
      </c>
      <c r="F118" s="16" t="s">
        <v>85</v>
      </c>
      <c r="G118" s="16" t="s">
        <v>40</v>
      </c>
      <c r="H118" s="16" t="s">
        <v>132</v>
      </c>
      <c r="I118" s="16" t="s">
        <v>133</v>
      </c>
      <c r="J118" s="15">
        <v>-9732.6702180645461</v>
      </c>
      <c r="K118" s="15">
        <v>-9732.6702180645461</v>
      </c>
      <c r="L118" s="15">
        <v>-9732.6699982250157</v>
      </c>
      <c r="M118" s="15">
        <f t="shared" si="8"/>
        <v>-2.1983953047310933E-4</v>
      </c>
      <c r="N118" s="15">
        <v>0</v>
      </c>
      <c r="O118" s="15">
        <f t="shared" si="10"/>
        <v>0</v>
      </c>
      <c r="P118" s="36">
        <v>0</v>
      </c>
      <c r="Q118" s="15">
        <f t="shared" si="9"/>
        <v>0</v>
      </c>
      <c r="R118" s="36"/>
      <c r="S118" s="15"/>
    </row>
    <row r="119" spans="1:19" x14ac:dyDescent="0.25">
      <c r="A119" s="16" t="s">
        <v>37</v>
      </c>
      <c r="B119" s="16" t="s">
        <v>100</v>
      </c>
      <c r="C119" s="16" t="s">
        <v>101</v>
      </c>
      <c r="D119" s="16" t="s">
        <v>150</v>
      </c>
      <c r="E119" s="16" t="s">
        <v>151</v>
      </c>
      <c r="F119" s="16" t="s">
        <v>85</v>
      </c>
      <c r="G119" s="16" t="s">
        <v>40</v>
      </c>
      <c r="H119" s="16" t="s">
        <v>64</v>
      </c>
      <c r="I119" s="16" t="s">
        <v>65</v>
      </c>
      <c r="J119" s="15">
        <v>-23328.731160813022</v>
      </c>
      <c r="K119" s="15">
        <v>0</v>
      </c>
      <c r="L119" s="15">
        <v>-21828.729965410221</v>
      </c>
      <c r="M119" s="15">
        <f t="shared" si="8"/>
        <v>-1500.0011954028014</v>
      </c>
      <c r="N119" s="15">
        <v>-1500.0011954028023</v>
      </c>
      <c r="O119" s="15">
        <f t="shared" si="10"/>
        <v>-1500.0011954028023</v>
      </c>
      <c r="P119" s="36">
        <v>0</v>
      </c>
      <c r="Q119" s="15">
        <f t="shared" si="9"/>
        <v>-1500.0011954028023</v>
      </c>
      <c r="R119" s="36"/>
      <c r="S119" s="15"/>
    </row>
    <row r="120" spans="1:19" x14ac:dyDescent="0.25">
      <c r="A120" s="16" t="s">
        <v>37</v>
      </c>
      <c r="B120" s="16" t="s">
        <v>100</v>
      </c>
      <c r="C120" s="16" t="s">
        <v>101</v>
      </c>
      <c r="D120" s="16" t="s">
        <v>150</v>
      </c>
      <c r="E120" s="16" t="s">
        <v>151</v>
      </c>
      <c r="F120" s="16" t="s">
        <v>85</v>
      </c>
      <c r="G120" s="16" t="s">
        <v>40</v>
      </c>
      <c r="H120" s="16" t="s">
        <v>66</v>
      </c>
      <c r="I120" s="16" t="s">
        <v>63</v>
      </c>
      <c r="J120" s="15">
        <v>-8781.4482000692369</v>
      </c>
      <c r="K120" s="15">
        <v>-8781.4482000692369</v>
      </c>
      <c r="L120" s="15">
        <v>-8781.449992554124</v>
      </c>
      <c r="M120" s="15">
        <f t="shared" si="8"/>
        <v>1.792484887118917E-3</v>
      </c>
      <c r="N120" s="15">
        <v>0</v>
      </c>
      <c r="O120" s="15">
        <f t="shared" si="10"/>
        <v>0</v>
      </c>
      <c r="P120" s="36">
        <v>0</v>
      </c>
      <c r="Q120" s="15">
        <f t="shared" si="9"/>
        <v>0</v>
      </c>
      <c r="R120" s="36"/>
      <c r="S120" s="15"/>
    </row>
    <row r="121" spans="1:19" x14ac:dyDescent="0.25">
      <c r="A121" s="16" t="s">
        <v>37</v>
      </c>
      <c r="B121" s="16" t="s">
        <v>100</v>
      </c>
      <c r="C121" s="16" t="s">
        <v>101</v>
      </c>
      <c r="D121" s="16" t="s">
        <v>150</v>
      </c>
      <c r="E121" s="16" t="s">
        <v>151</v>
      </c>
      <c r="F121" s="16" t="s">
        <v>85</v>
      </c>
      <c r="G121" s="16" t="s">
        <v>40</v>
      </c>
      <c r="H121" s="16" t="s">
        <v>67</v>
      </c>
      <c r="I121" s="16" t="s">
        <v>68</v>
      </c>
      <c r="J121" s="15">
        <v>-2820</v>
      </c>
      <c r="K121" s="15">
        <v>0</v>
      </c>
      <c r="L121" s="15">
        <v>0</v>
      </c>
      <c r="M121" s="15">
        <f t="shared" si="8"/>
        <v>-2820</v>
      </c>
      <c r="N121" s="15">
        <v>-2820</v>
      </c>
      <c r="O121" s="15">
        <f t="shared" si="10"/>
        <v>-2820</v>
      </c>
      <c r="P121" s="36">
        <v>0</v>
      </c>
      <c r="Q121" s="15">
        <f t="shared" si="9"/>
        <v>-2820</v>
      </c>
      <c r="R121" s="36"/>
      <c r="S121" s="15"/>
    </row>
    <row r="122" spans="1:19" x14ac:dyDescent="0.25">
      <c r="A122" s="16" t="s">
        <v>37</v>
      </c>
      <c r="B122" s="16" t="s">
        <v>100</v>
      </c>
      <c r="C122" s="16" t="s">
        <v>101</v>
      </c>
      <c r="D122" s="16" t="s">
        <v>150</v>
      </c>
      <c r="E122" s="16" t="s">
        <v>151</v>
      </c>
      <c r="F122" s="16" t="s">
        <v>85</v>
      </c>
      <c r="G122" s="16" t="s">
        <v>40</v>
      </c>
      <c r="H122" s="16" t="s">
        <v>69</v>
      </c>
      <c r="I122" s="16" t="s">
        <v>70</v>
      </c>
      <c r="J122" s="15">
        <v>-2204.688436020223</v>
      </c>
      <c r="K122" s="15">
        <v>-2204.688436020223</v>
      </c>
      <c r="L122" s="15">
        <v>-2180.8815934260133</v>
      </c>
      <c r="M122" s="15">
        <f t="shared" si="8"/>
        <v>-23.806842594209684</v>
      </c>
      <c r="N122" s="15">
        <v>0</v>
      </c>
      <c r="O122" s="15">
        <f t="shared" si="10"/>
        <v>0</v>
      </c>
      <c r="P122" s="36">
        <v>0</v>
      </c>
      <c r="Q122" s="15">
        <f t="shared" si="9"/>
        <v>0</v>
      </c>
      <c r="R122" s="36"/>
      <c r="S122" s="15">
        <f>M122</f>
        <v>-23.806842594209684</v>
      </c>
    </row>
    <row r="123" spans="1:19" x14ac:dyDescent="0.25">
      <c r="A123" s="16" t="s">
        <v>37</v>
      </c>
      <c r="B123" s="16" t="s">
        <v>100</v>
      </c>
      <c r="C123" s="16" t="s">
        <v>101</v>
      </c>
      <c r="D123" s="16" t="s">
        <v>150</v>
      </c>
      <c r="E123" s="16" t="s">
        <v>151</v>
      </c>
      <c r="F123" s="16" t="s">
        <v>85</v>
      </c>
      <c r="G123" s="16" t="s">
        <v>40</v>
      </c>
      <c r="H123" s="16" t="s">
        <v>136</v>
      </c>
      <c r="I123" s="16" t="s">
        <v>137</v>
      </c>
      <c r="J123" s="15">
        <v>-21618.400000000012</v>
      </c>
      <c r="K123" s="15">
        <v>0</v>
      </c>
      <c r="L123" s="15">
        <v>-21618.400000000009</v>
      </c>
      <c r="M123" s="15">
        <f t="shared" si="8"/>
        <v>0</v>
      </c>
      <c r="N123" s="15">
        <v>-2.2168933355715126E-12</v>
      </c>
      <c r="O123" s="15">
        <f t="shared" si="10"/>
        <v>-2.2168933355715126E-12</v>
      </c>
      <c r="P123" s="36">
        <v>0</v>
      </c>
      <c r="Q123" s="15">
        <f t="shared" si="9"/>
        <v>-2.2168933355715126E-12</v>
      </c>
      <c r="R123" s="36"/>
      <c r="S123" s="15"/>
    </row>
    <row r="124" spans="1:19" x14ac:dyDescent="0.25">
      <c r="A124" s="16" t="s">
        <v>37</v>
      </c>
      <c r="B124" s="16" t="s">
        <v>100</v>
      </c>
      <c r="C124" s="16" t="s">
        <v>101</v>
      </c>
      <c r="D124" s="16" t="s">
        <v>150</v>
      </c>
      <c r="E124" s="16" t="s">
        <v>151</v>
      </c>
      <c r="F124" s="16" t="s">
        <v>85</v>
      </c>
      <c r="G124" s="16" t="s">
        <v>40</v>
      </c>
      <c r="H124" s="16" t="s">
        <v>138</v>
      </c>
      <c r="I124" s="16" t="s">
        <v>139</v>
      </c>
      <c r="J124" s="15">
        <v>-794.82336849304261</v>
      </c>
      <c r="K124" s="15">
        <v>0</v>
      </c>
      <c r="L124" s="15">
        <v>-794.82336849304261</v>
      </c>
      <c r="M124" s="15">
        <f t="shared" si="8"/>
        <v>0</v>
      </c>
      <c r="N124" s="15">
        <v>0</v>
      </c>
      <c r="O124" s="15">
        <f t="shared" si="10"/>
        <v>0</v>
      </c>
      <c r="P124" s="36">
        <v>0</v>
      </c>
      <c r="Q124" s="15">
        <f t="shared" si="9"/>
        <v>0</v>
      </c>
      <c r="R124" s="36"/>
      <c r="S124" s="15"/>
    </row>
    <row r="125" spans="1:19" x14ac:dyDescent="0.25">
      <c r="A125" s="16" t="s">
        <v>37</v>
      </c>
      <c r="B125" s="16" t="s">
        <v>100</v>
      </c>
      <c r="C125" s="16" t="s">
        <v>101</v>
      </c>
      <c r="D125" s="16" t="s">
        <v>152</v>
      </c>
      <c r="E125" s="16" t="s">
        <v>153</v>
      </c>
      <c r="F125" s="16" t="s">
        <v>85</v>
      </c>
      <c r="G125" s="16" t="s">
        <v>40</v>
      </c>
      <c r="H125" s="16" t="s">
        <v>38</v>
      </c>
      <c r="I125" s="16" t="s">
        <v>38</v>
      </c>
      <c r="J125" s="15">
        <v>-4428344.1203847043</v>
      </c>
      <c r="K125" s="15">
        <v>-567515.44555085374</v>
      </c>
      <c r="L125" s="15">
        <v>-3575420.6942393789</v>
      </c>
      <c r="M125" s="15">
        <f t="shared" si="8"/>
        <v>-852923.42614532541</v>
      </c>
      <c r="N125" s="15">
        <v>-852923.42614532518</v>
      </c>
      <c r="O125" s="15">
        <f t="shared" si="10"/>
        <v>-852923.42614532518</v>
      </c>
      <c r="P125" s="36">
        <v>0</v>
      </c>
      <c r="Q125" s="15">
        <f t="shared" si="9"/>
        <v>-852923.42614532518</v>
      </c>
      <c r="R125" s="36"/>
      <c r="S125" s="15"/>
    </row>
    <row r="126" spans="1:19" x14ac:dyDescent="0.25">
      <c r="A126" s="16" t="s">
        <v>37</v>
      </c>
      <c r="B126" s="16" t="s">
        <v>100</v>
      </c>
      <c r="C126" s="16" t="s">
        <v>101</v>
      </c>
      <c r="D126" s="16" t="s">
        <v>152</v>
      </c>
      <c r="E126" s="16" t="s">
        <v>153</v>
      </c>
      <c r="F126" s="16" t="s">
        <v>85</v>
      </c>
      <c r="G126" s="16" t="s">
        <v>40</v>
      </c>
      <c r="H126" s="16" t="s">
        <v>142</v>
      </c>
      <c r="I126" s="16" t="s">
        <v>143</v>
      </c>
      <c r="J126" s="15">
        <v>-4258.0300000000007</v>
      </c>
      <c r="K126" s="15">
        <v>0</v>
      </c>
      <c r="L126" s="15">
        <v>0</v>
      </c>
      <c r="M126" s="15">
        <f t="shared" si="8"/>
        <v>-4258.0300000000007</v>
      </c>
      <c r="N126" s="15">
        <v>-4258.0300000000007</v>
      </c>
      <c r="O126" s="15">
        <f t="shared" ref="O126:O157" si="11">N126-P126</f>
        <v>-4258.0300000000007</v>
      </c>
      <c r="P126" s="36">
        <v>0</v>
      </c>
      <c r="Q126" s="15">
        <f t="shared" si="9"/>
        <v>-4258.0300000000007</v>
      </c>
      <c r="R126" s="36"/>
      <c r="S126" s="15"/>
    </row>
    <row r="127" spans="1:19" x14ac:dyDescent="0.25">
      <c r="A127" s="16" t="s">
        <v>37</v>
      </c>
      <c r="B127" s="16" t="s">
        <v>100</v>
      </c>
      <c r="C127" s="16" t="s">
        <v>101</v>
      </c>
      <c r="D127" s="16" t="s">
        <v>152</v>
      </c>
      <c r="E127" s="16" t="s">
        <v>153</v>
      </c>
      <c r="F127" s="16" t="s">
        <v>85</v>
      </c>
      <c r="G127" s="16" t="s">
        <v>40</v>
      </c>
      <c r="H127" s="16" t="s">
        <v>130</v>
      </c>
      <c r="I127" s="16" t="s">
        <v>131</v>
      </c>
      <c r="J127" s="15">
        <v>-11544.270000039858</v>
      </c>
      <c r="K127" s="15">
        <v>-11544.270000039858</v>
      </c>
      <c r="L127" s="15">
        <v>0</v>
      </c>
      <c r="M127" s="15">
        <f t="shared" si="8"/>
        <v>-11544.270000039858</v>
      </c>
      <c r="N127" s="15">
        <v>-11544.270000039858</v>
      </c>
      <c r="O127" s="15">
        <f t="shared" si="11"/>
        <v>-11544.270000039858</v>
      </c>
      <c r="P127" s="36">
        <v>0</v>
      </c>
      <c r="Q127" s="15">
        <f t="shared" si="9"/>
        <v>-11544.270000039858</v>
      </c>
      <c r="R127" s="36"/>
      <c r="S127" s="15"/>
    </row>
    <row r="128" spans="1:19" x14ac:dyDescent="0.25">
      <c r="A128" s="16" t="s">
        <v>37</v>
      </c>
      <c r="B128" s="16" t="s">
        <v>100</v>
      </c>
      <c r="C128" s="16" t="s">
        <v>101</v>
      </c>
      <c r="D128" s="16" t="s">
        <v>152</v>
      </c>
      <c r="E128" s="16" t="s">
        <v>153</v>
      </c>
      <c r="F128" s="16" t="s">
        <v>85</v>
      </c>
      <c r="G128" s="16" t="s">
        <v>40</v>
      </c>
      <c r="H128" s="16" t="s">
        <v>124</v>
      </c>
      <c r="I128" s="16" t="s">
        <v>125</v>
      </c>
      <c r="J128" s="15">
        <v>-193911.71585086733</v>
      </c>
      <c r="K128" s="15">
        <v>0</v>
      </c>
      <c r="L128" s="15">
        <v>-158561.61168897871</v>
      </c>
      <c r="M128" s="15">
        <f t="shared" si="8"/>
        <v>-35350.104161888623</v>
      </c>
      <c r="N128" s="15">
        <v>0</v>
      </c>
      <c r="O128" s="15">
        <f t="shared" si="11"/>
        <v>0</v>
      </c>
      <c r="P128" s="36">
        <v>0</v>
      </c>
      <c r="Q128" s="15">
        <f t="shared" si="9"/>
        <v>0</v>
      </c>
      <c r="R128" s="36"/>
      <c r="S128" s="15"/>
    </row>
    <row r="129" spans="1:19" x14ac:dyDescent="0.25">
      <c r="A129" s="16" t="s">
        <v>37</v>
      </c>
      <c r="B129" s="16" t="s">
        <v>100</v>
      </c>
      <c r="C129" s="16" t="s">
        <v>101</v>
      </c>
      <c r="D129" s="16" t="s">
        <v>152</v>
      </c>
      <c r="E129" s="16" t="s">
        <v>153</v>
      </c>
      <c r="F129" s="16" t="s">
        <v>85</v>
      </c>
      <c r="G129" s="16" t="s">
        <v>40</v>
      </c>
      <c r="H129" s="16" t="s">
        <v>132</v>
      </c>
      <c r="I129" s="16" t="s">
        <v>133</v>
      </c>
      <c r="J129" s="15">
        <v>-29384.672839481922</v>
      </c>
      <c r="K129" s="15">
        <v>-29384.672839481922</v>
      </c>
      <c r="L129" s="15">
        <v>-29384.669994641001</v>
      </c>
      <c r="M129" s="15">
        <f t="shared" si="8"/>
        <v>-2.8448409211705439E-3</v>
      </c>
      <c r="N129" s="15">
        <v>0</v>
      </c>
      <c r="O129" s="15">
        <f t="shared" si="11"/>
        <v>0</v>
      </c>
      <c r="P129" s="36">
        <v>0</v>
      </c>
      <c r="Q129" s="15">
        <f t="shared" si="9"/>
        <v>0</v>
      </c>
      <c r="R129" s="36"/>
      <c r="S129" s="15"/>
    </row>
    <row r="130" spans="1:19" x14ac:dyDescent="0.25">
      <c r="A130" s="16" t="s">
        <v>37</v>
      </c>
      <c r="B130" s="16" t="s">
        <v>100</v>
      </c>
      <c r="C130" s="16" t="s">
        <v>101</v>
      </c>
      <c r="D130" s="16" t="s">
        <v>152</v>
      </c>
      <c r="E130" s="16" t="s">
        <v>153</v>
      </c>
      <c r="F130" s="16" t="s">
        <v>85</v>
      </c>
      <c r="G130" s="16" t="s">
        <v>40</v>
      </c>
      <c r="H130" s="16" t="s">
        <v>64</v>
      </c>
      <c r="I130" s="16" t="s">
        <v>65</v>
      </c>
      <c r="J130" s="15">
        <v>-96748.544027452721</v>
      </c>
      <c r="K130" s="15">
        <v>0</v>
      </c>
      <c r="L130" s="15">
        <v>-50539.279919915512</v>
      </c>
      <c r="M130" s="15">
        <f t="shared" si="8"/>
        <v>-46209.264107537208</v>
      </c>
      <c r="N130" s="15">
        <v>-46209.264107537208</v>
      </c>
      <c r="O130" s="15">
        <f t="shared" si="11"/>
        <v>-46209.264107537208</v>
      </c>
      <c r="P130" s="36">
        <v>0</v>
      </c>
      <c r="Q130" s="15">
        <f t="shared" si="9"/>
        <v>-46209.264107537208</v>
      </c>
      <c r="R130" s="36"/>
      <c r="S130" s="15"/>
    </row>
    <row r="131" spans="1:19" x14ac:dyDescent="0.25">
      <c r="A131" s="16" t="s">
        <v>37</v>
      </c>
      <c r="B131" s="16" t="s">
        <v>100</v>
      </c>
      <c r="C131" s="16" t="s">
        <v>101</v>
      </c>
      <c r="D131" s="16" t="s">
        <v>152</v>
      </c>
      <c r="E131" s="16" t="s">
        <v>153</v>
      </c>
      <c r="F131" s="16" t="s">
        <v>85</v>
      </c>
      <c r="G131" s="16" t="s">
        <v>40</v>
      </c>
      <c r="H131" s="16" t="s">
        <v>66</v>
      </c>
      <c r="I131" s="16" t="s">
        <v>63</v>
      </c>
      <c r="J131" s="15">
        <v>-82361.824552931721</v>
      </c>
      <c r="K131" s="15">
        <v>-82361.824552931721</v>
      </c>
      <c r="L131" s="15">
        <v>-82361.829930164589</v>
      </c>
      <c r="M131" s="15">
        <f t="shared" si="8"/>
        <v>5.3772328683407977E-3</v>
      </c>
      <c r="N131" s="15">
        <v>0</v>
      </c>
      <c r="O131" s="15">
        <f t="shared" si="11"/>
        <v>0</v>
      </c>
      <c r="P131" s="36">
        <v>0</v>
      </c>
      <c r="Q131" s="15">
        <f t="shared" si="9"/>
        <v>0</v>
      </c>
      <c r="R131" s="36"/>
      <c r="S131" s="15"/>
    </row>
    <row r="132" spans="1:19" x14ac:dyDescent="0.25">
      <c r="A132" s="16" t="s">
        <v>37</v>
      </c>
      <c r="B132" s="16" t="s">
        <v>100</v>
      </c>
      <c r="C132" s="16" t="s">
        <v>101</v>
      </c>
      <c r="D132" s="16" t="s">
        <v>152</v>
      </c>
      <c r="E132" s="16" t="s">
        <v>153</v>
      </c>
      <c r="F132" s="16" t="s">
        <v>85</v>
      </c>
      <c r="G132" s="16" t="s">
        <v>40</v>
      </c>
      <c r="H132" s="16" t="s">
        <v>67</v>
      </c>
      <c r="I132" s="16" t="s">
        <v>68</v>
      </c>
      <c r="J132" s="15">
        <v>-4050</v>
      </c>
      <c r="K132" s="15">
        <v>0</v>
      </c>
      <c r="L132" s="15">
        <v>0</v>
      </c>
      <c r="M132" s="15">
        <f t="shared" si="8"/>
        <v>-4050</v>
      </c>
      <c r="N132" s="15">
        <v>-4050</v>
      </c>
      <c r="O132" s="15">
        <f t="shared" si="11"/>
        <v>-4050</v>
      </c>
      <c r="P132" s="36">
        <v>0</v>
      </c>
      <c r="Q132" s="15">
        <f t="shared" si="9"/>
        <v>-4050</v>
      </c>
      <c r="R132" s="36"/>
      <c r="S132" s="15"/>
    </row>
    <row r="133" spans="1:19" x14ac:dyDescent="0.25">
      <c r="A133" s="16" t="s">
        <v>37</v>
      </c>
      <c r="B133" s="16" t="s">
        <v>100</v>
      </c>
      <c r="C133" s="16" t="s">
        <v>101</v>
      </c>
      <c r="D133" s="16" t="s">
        <v>152</v>
      </c>
      <c r="E133" s="16" t="s">
        <v>153</v>
      </c>
      <c r="F133" s="16" t="s">
        <v>85</v>
      </c>
      <c r="G133" s="16" t="s">
        <v>40</v>
      </c>
      <c r="H133" s="16" t="s">
        <v>69</v>
      </c>
      <c r="I133" s="16" t="s">
        <v>70</v>
      </c>
      <c r="J133" s="15">
        <v>-9873.4631051071228</v>
      </c>
      <c r="K133" s="15">
        <v>-9873.4631056661237</v>
      </c>
      <c r="L133" s="15">
        <v>-10017.014329299493</v>
      </c>
      <c r="M133" s="15">
        <f t="shared" si="8"/>
        <v>143.55122419236977</v>
      </c>
      <c r="N133" s="15">
        <v>0</v>
      </c>
      <c r="O133" s="15">
        <f t="shared" si="11"/>
        <v>0</v>
      </c>
      <c r="P133" s="36">
        <v>0</v>
      </c>
      <c r="Q133" s="15">
        <f t="shared" si="9"/>
        <v>0</v>
      </c>
      <c r="R133" s="36"/>
      <c r="S133" s="15">
        <f>M133</f>
        <v>143.55122419236977</v>
      </c>
    </row>
    <row r="134" spans="1:19" x14ac:dyDescent="0.25">
      <c r="A134" s="16" t="s">
        <v>37</v>
      </c>
      <c r="B134" s="16" t="s">
        <v>100</v>
      </c>
      <c r="C134" s="16" t="s">
        <v>101</v>
      </c>
      <c r="D134" s="16" t="s">
        <v>152</v>
      </c>
      <c r="E134" s="16" t="s">
        <v>153</v>
      </c>
      <c r="F134" s="16" t="s">
        <v>85</v>
      </c>
      <c r="G134" s="16" t="s">
        <v>40</v>
      </c>
      <c r="H134" s="16" t="s">
        <v>136</v>
      </c>
      <c r="I134" s="16" t="s">
        <v>137</v>
      </c>
      <c r="J134" s="15">
        <v>-19447.700000000012</v>
      </c>
      <c r="K134" s="15">
        <v>0</v>
      </c>
      <c r="L134" s="15">
        <v>-19447.7</v>
      </c>
      <c r="M134" s="15">
        <f t="shared" si="8"/>
        <v>0</v>
      </c>
      <c r="N134" s="15">
        <v>-1.0913936421275139E-11</v>
      </c>
      <c r="O134" s="15">
        <f t="shared" si="11"/>
        <v>-1.0913936421275139E-11</v>
      </c>
      <c r="P134" s="36">
        <v>0</v>
      </c>
      <c r="Q134" s="15">
        <f t="shared" si="9"/>
        <v>-1.0913936421275139E-11</v>
      </c>
      <c r="R134" s="36"/>
      <c r="S134" s="15"/>
    </row>
    <row r="135" spans="1:19" x14ac:dyDescent="0.25">
      <c r="A135" s="16" t="s">
        <v>37</v>
      </c>
      <c r="B135" s="16" t="s">
        <v>100</v>
      </c>
      <c r="C135" s="16" t="s">
        <v>101</v>
      </c>
      <c r="D135" s="16" t="s">
        <v>152</v>
      </c>
      <c r="E135" s="16" t="s">
        <v>153</v>
      </c>
      <c r="F135" s="16" t="s">
        <v>85</v>
      </c>
      <c r="G135" s="16" t="s">
        <v>40</v>
      </c>
      <c r="H135" s="16" t="s">
        <v>138</v>
      </c>
      <c r="I135" s="16" t="s">
        <v>139</v>
      </c>
      <c r="J135" s="15">
        <v>-1807.1536417918305</v>
      </c>
      <c r="K135" s="15">
        <v>0</v>
      </c>
      <c r="L135" s="15">
        <v>-1807.1536417918296</v>
      </c>
      <c r="M135" s="15">
        <f t="shared" si="8"/>
        <v>0</v>
      </c>
      <c r="N135" s="15">
        <v>0</v>
      </c>
      <c r="O135" s="15">
        <f t="shared" si="11"/>
        <v>0</v>
      </c>
      <c r="P135" s="36">
        <v>0</v>
      </c>
      <c r="Q135" s="15">
        <f t="shared" si="9"/>
        <v>0</v>
      </c>
      <c r="R135" s="36"/>
      <c r="S135" s="15"/>
    </row>
    <row r="136" spans="1:19" x14ac:dyDescent="0.25">
      <c r="A136" s="16" t="s">
        <v>37</v>
      </c>
      <c r="B136" s="16" t="s">
        <v>100</v>
      </c>
      <c r="C136" s="16" t="s">
        <v>101</v>
      </c>
      <c r="D136" s="16" t="s">
        <v>154</v>
      </c>
      <c r="E136" s="16" t="s">
        <v>155</v>
      </c>
      <c r="F136" s="16" t="s">
        <v>85</v>
      </c>
      <c r="G136" s="16" t="s">
        <v>40</v>
      </c>
      <c r="H136" s="16" t="s">
        <v>38</v>
      </c>
      <c r="I136" s="16" t="s">
        <v>38</v>
      </c>
      <c r="J136" s="15">
        <v>-1744501.7518341162</v>
      </c>
      <c r="K136" s="15">
        <v>-294828.84917719627</v>
      </c>
      <c r="L136" s="15">
        <v>-1517499.3386132866</v>
      </c>
      <c r="M136" s="15">
        <f t="shared" si="8"/>
        <v>-227002.41322082956</v>
      </c>
      <c r="N136" s="15">
        <v>-227002.41322082936</v>
      </c>
      <c r="O136" s="15">
        <f t="shared" si="11"/>
        <v>-227002.41322082936</v>
      </c>
      <c r="P136" s="36">
        <v>0</v>
      </c>
      <c r="Q136" s="15">
        <f t="shared" si="9"/>
        <v>-227002.41322082936</v>
      </c>
      <c r="R136" s="36"/>
      <c r="S136" s="15"/>
    </row>
    <row r="137" spans="1:19" x14ac:dyDescent="0.25">
      <c r="A137" s="16" t="s">
        <v>37</v>
      </c>
      <c r="B137" s="16" t="s">
        <v>100</v>
      </c>
      <c r="C137" s="16" t="s">
        <v>101</v>
      </c>
      <c r="D137" s="16" t="s">
        <v>154</v>
      </c>
      <c r="E137" s="16" t="s">
        <v>155</v>
      </c>
      <c r="F137" s="16" t="s">
        <v>85</v>
      </c>
      <c r="G137" s="16" t="s">
        <v>40</v>
      </c>
      <c r="H137" s="16" t="s">
        <v>142</v>
      </c>
      <c r="I137" s="16" t="s">
        <v>143</v>
      </c>
      <c r="J137" s="15">
        <v>-4258.0300000000007</v>
      </c>
      <c r="K137" s="15">
        <v>0</v>
      </c>
      <c r="L137" s="15">
        <v>0</v>
      </c>
      <c r="M137" s="15">
        <f t="shared" si="8"/>
        <v>-4258.0300000000007</v>
      </c>
      <c r="N137" s="15">
        <v>-4258.0300000000007</v>
      </c>
      <c r="O137" s="15">
        <f t="shared" si="11"/>
        <v>-4258.0300000000007</v>
      </c>
      <c r="P137" s="36">
        <v>0</v>
      </c>
      <c r="Q137" s="15">
        <f t="shared" si="9"/>
        <v>-4258.0300000000007</v>
      </c>
      <c r="R137" s="36"/>
      <c r="S137" s="15"/>
    </row>
    <row r="138" spans="1:19" x14ac:dyDescent="0.25">
      <c r="A138" s="16" t="s">
        <v>37</v>
      </c>
      <c r="B138" s="16" t="s">
        <v>100</v>
      </c>
      <c r="C138" s="16" t="s">
        <v>101</v>
      </c>
      <c r="D138" s="16" t="s">
        <v>154</v>
      </c>
      <c r="E138" s="16" t="s">
        <v>155</v>
      </c>
      <c r="F138" s="16" t="s">
        <v>85</v>
      </c>
      <c r="G138" s="16" t="s">
        <v>40</v>
      </c>
      <c r="H138" s="16" t="s">
        <v>130</v>
      </c>
      <c r="I138" s="16" t="s">
        <v>131</v>
      </c>
      <c r="J138" s="15">
        <v>-3948.6800000136336</v>
      </c>
      <c r="K138" s="15">
        <v>-3948.6800000136336</v>
      </c>
      <c r="L138" s="15">
        <v>0</v>
      </c>
      <c r="M138" s="15">
        <f t="shared" si="8"/>
        <v>-3948.6800000136336</v>
      </c>
      <c r="N138" s="15">
        <v>-3948.6800000136336</v>
      </c>
      <c r="O138" s="15">
        <f t="shared" si="11"/>
        <v>-3948.6800000136336</v>
      </c>
      <c r="P138" s="36">
        <v>0</v>
      </c>
      <c r="Q138" s="15">
        <f t="shared" si="9"/>
        <v>-3948.6800000136336</v>
      </c>
      <c r="R138" s="36"/>
      <c r="S138" s="15"/>
    </row>
    <row r="139" spans="1:19" x14ac:dyDescent="0.25">
      <c r="A139" s="16" t="s">
        <v>37</v>
      </c>
      <c r="B139" s="16" t="s">
        <v>100</v>
      </c>
      <c r="C139" s="16" t="s">
        <v>101</v>
      </c>
      <c r="D139" s="16" t="s">
        <v>154</v>
      </c>
      <c r="E139" s="16" t="s">
        <v>155</v>
      </c>
      <c r="F139" s="16" t="s">
        <v>85</v>
      </c>
      <c r="G139" s="16" t="s">
        <v>40</v>
      </c>
      <c r="H139" s="16" t="s">
        <v>124</v>
      </c>
      <c r="I139" s="16" t="s">
        <v>125</v>
      </c>
      <c r="J139" s="15">
        <v>-69557.769059780461</v>
      </c>
      <c r="K139" s="15">
        <v>0</v>
      </c>
      <c r="L139" s="15">
        <v>-55622.666098232221</v>
      </c>
      <c r="M139" s="15">
        <f t="shared" si="8"/>
        <v>-13935.10296154824</v>
      </c>
      <c r="N139" s="15">
        <v>0</v>
      </c>
      <c r="O139" s="15">
        <f t="shared" si="11"/>
        <v>0</v>
      </c>
      <c r="P139" s="36">
        <v>0</v>
      </c>
      <c r="Q139" s="15">
        <f t="shared" si="9"/>
        <v>0</v>
      </c>
      <c r="R139" s="36"/>
      <c r="S139" s="15"/>
    </row>
    <row r="140" spans="1:19" x14ac:dyDescent="0.25">
      <c r="A140" s="16" t="s">
        <v>37</v>
      </c>
      <c r="B140" s="16" t="s">
        <v>100</v>
      </c>
      <c r="C140" s="16" t="s">
        <v>101</v>
      </c>
      <c r="D140" s="16" t="s">
        <v>154</v>
      </c>
      <c r="E140" s="16" t="s">
        <v>155</v>
      </c>
      <c r="F140" s="16" t="s">
        <v>85</v>
      </c>
      <c r="G140" s="16" t="s">
        <v>40</v>
      </c>
      <c r="H140" s="16" t="s">
        <v>132</v>
      </c>
      <c r="I140" s="16" t="s">
        <v>133</v>
      </c>
      <c r="J140" s="15">
        <v>-11603.38038334372</v>
      </c>
      <c r="K140" s="15">
        <v>-11603.38038334372</v>
      </c>
      <c r="L140" s="15">
        <v>-11603.379997883847</v>
      </c>
      <c r="M140" s="15">
        <f t="shared" ref="M140:M203" si="12">J140-L140</f>
        <v>-3.8545987263205461E-4</v>
      </c>
      <c r="N140" s="15">
        <v>0</v>
      </c>
      <c r="O140" s="15">
        <f t="shared" si="11"/>
        <v>0</v>
      </c>
      <c r="P140" s="36">
        <v>0</v>
      </c>
      <c r="Q140" s="15">
        <f t="shared" ref="Q140:Q203" si="13">O140+P140</f>
        <v>0</v>
      </c>
      <c r="R140" s="36"/>
      <c r="S140" s="15"/>
    </row>
    <row r="141" spans="1:19" x14ac:dyDescent="0.25">
      <c r="A141" s="16" t="s">
        <v>37</v>
      </c>
      <c r="B141" s="16" t="s">
        <v>100</v>
      </c>
      <c r="C141" s="16" t="s">
        <v>101</v>
      </c>
      <c r="D141" s="16" t="s">
        <v>154</v>
      </c>
      <c r="E141" s="16" t="s">
        <v>155</v>
      </c>
      <c r="F141" s="16" t="s">
        <v>85</v>
      </c>
      <c r="G141" s="16" t="s">
        <v>40</v>
      </c>
      <c r="H141" s="16" t="s">
        <v>64</v>
      </c>
      <c r="I141" s="16" t="s">
        <v>65</v>
      </c>
      <c r="J141" s="15">
        <v>-25717.704636341041</v>
      </c>
      <c r="K141" s="15">
        <v>0</v>
      </c>
      <c r="L141" s="15">
        <v>-23217.699963209256</v>
      </c>
      <c r="M141" s="15">
        <f t="shared" si="12"/>
        <v>-2500.0046731317852</v>
      </c>
      <c r="N141" s="15">
        <v>-2500.0046731317825</v>
      </c>
      <c r="O141" s="15">
        <f t="shared" si="11"/>
        <v>-2500.0046731317825</v>
      </c>
      <c r="P141" s="36">
        <v>0</v>
      </c>
      <c r="Q141" s="15">
        <f t="shared" si="13"/>
        <v>-2500.0046731317825</v>
      </c>
      <c r="R141" s="36"/>
      <c r="S141" s="15"/>
    </row>
    <row r="142" spans="1:19" x14ac:dyDescent="0.25">
      <c r="A142" s="16" t="s">
        <v>37</v>
      </c>
      <c r="B142" s="16" t="s">
        <v>100</v>
      </c>
      <c r="C142" s="16" t="s">
        <v>101</v>
      </c>
      <c r="D142" s="16" t="s">
        <v>154</v>
      </c>
      <c r="E142" s="16" t="s">
        <v>155</v>
      </c>
      <c r="F142" s="16" t="s">
        <v>85</v>
      </c>
      <c r="G142" s="16" t="s">
        <v>40</v>
      </c>
      <c r="H142" s="16" t="s">
        <v>66</v>
      </c>
      <c r="I142" s="16" t="s">
        <v>63</v>
      </c>
      <c r="J142" s="15">
        <v>-15398.847824232224</v>
      </c>
      <c r="K142" s="15">
        <v>-15398.847824232224</v>
      </c>
      <c r="L142" s="15">
        <v>-15398.849986943163</v>
      </c>
      <c r="M142" s="15">
        <f t="shared" si="12"/>
        <v>2.162710939956014E-3</v>
      </c>
      <c r="N142" s="15">
        <v>0</v>
      </c>
      <c r="O142" s="15">
        <f t="shared" si="11"/>
        <v>0</v>
      </c>
      <c r="P142" s="36">
        <v>0</v>
      </c>
      <c r="Q142" s="15">
        <f t="shared" si="13"/>
        <v>0</v>
      </c>
      <c r="R142" s="36"/>
      <c r="S142" s="15"/>
    </row>
    <row r="143" spans="1:19" x14ac:dyDescent="0.25">
      <c r="A143" s="16" t="s">
        <v>37</v>
      </c>
      <c r="B143" s="16" t="s">
        <v>100</v>
      </c>
      <c r="C143" s="16" t="s">
        <v>101</v>
      </c>
      <c r="D143" s="16" t="s">
        <v>154</v>
      </c>
      <c r="E143" s="16" t="s">
        <v>155</v>
      </c>
      <c r="F143" s="16" t="s">
        <v>85</v>
      </c>
      <c r="G143" s="16" t="s">
        <v>40</v>
      </c>
      <c r="H143" s="16" t="s">
        <v>67</v>
      </c>
      <c r="I143" s="16" t="s">
        <v>68</v>
      </c>
      <c r="J143" s="15">
        <v>-1720</v>
      </c>
      <c r="K143" s="15">
        <v>0</v>
      </c>
      <c r="L143" s="15">
        <v>0</v>
      </c>
      <c r="M143" s="15">
        <f t="shared" si="12"/>
        <v>-1720</v>
      </c>
      <c r="N143" s="15">
        <v>-1720</v>
      </c>
      <c r="O143" s="15">
        <f t="shared" si="11"/>
        <v>-1720</v>
      </c>
      <c r="P143" s="36">
        <v>0</v>
      </c>
      <c r="Q143" s="15">
        <f t="shared" si="13"/>
        <v>-1720</v>
      </c>
      <c r="R143" s="36"/>
      <c r="S143" s="15"/>
    </row>
    <row r="144" spans="1:19" x14ac:dyDescent="0.25">
      <c r="A144" s="16" t="s">
        <v>37</v>
      </c>
      <c r="B144" s="16" t="s">
        <v>100</v>
      </c>
      <c r="C144" s="16" t="s">
        <v>101</v>
      </c>
      <c r="D144" s="16" t="s">
        <v>154</v>
      </c>
      <c r="E144" s="16" t="s">
        <v>155</v>
      </c>
      <c r="F144" s="16" t="s">
        <v>85</v>
      </c>
      <c r="G144" s="16" t="s">
        <v>40</v>
      </c>
      <c r="H144" s="16" t="s">
        <v>69</v>
      </c>
      <c r="I144" s="16" t="s">
        <v>70</v>
      </c>
      <c r="J144" s="15">
        <v>-1535.4468632664916</v>
      </c>
      <c r="K144" s="15">
        <v>-1535.4468632664916</v>
      </c>
      <c r="L144" s="15">
        <v>-1520.9110716517025</v>
      </c>
      <c r="M144" s="15">
        <f t="shared" si="12"/>
        <v>-14.535791614789105</v>
      </c>
      <c r="N144" s="15">
        <v>0</v>
      </c>
      <c r="O144" s="15">
        <f t="shared" si="11"/>
        <v>0</v>
      </c>
      <c r="P144" s="36">
        <v>0</v>
      </c>
      <c r="Q144" s="15">
        <f t="shared" si="13"/>
        <v>0</v>
      </c>
      <c r="R144" s="36"/>
      <c r="S144" s="15">
        <f>M144</f>
        <v>-14.535791614789105</v>
      </c>
    </row>
    <row r="145" spans="1:19" x14ac:dyDescent="0.25">
      <c r="A145" s="16" t="s">
        <v>37</v>
      </c>
      <c r="B145" s="16" t="s">
        <v>100</v>
      </c>
      <c r="C145" s="16" t="s">
        <v>101</v>
      </c>
      <c r="D145" s="16" t="s">
        <v>154</v>
      </c>
      <c r="E145" s="16" t="s">
        <v>155</v>
      </c>
      <c r="F145" s="16" t="s">
        <v>85</v>
      </c>
      <c r="G145" s="16" t="s">
        <v>40</v>
      </c>
      <c r="H145" s="16" t="s">
        <v>136</v>
      </c>
      <c r="I145" s="16" t="s">
        <v>137</v>
      </c>
      <c r="J145" s="15">
        <v>-19447.700000000012</v>
      </c>
      <c r="K145" s="15">
        <v>0</v>
      </c>
      <c r="L145" s="15">
        <v>-19447.7</v>
      </c>
      <c r="M145" s="15">
        <f t="shared" si="12"/>
        <v>0</v>
      </c>
      <c r="N145" s="15">
        <v>-1.0913936421275139E-11</v>
      </c>
      <c r="O145" s="15">
        <f t="shared" si="11"/>
        <v>-1.0913936421275139E-11</v>
      </c>
      <c r="P145" s="36">
        <v>0</v>
      </c>
      <c r="Q145" s="15">
        <f t="shared" si="13"/>
        <v>-1.0913936421275139E-11</v>
      </c>
      <c r="R145" s="36"/>
      <c r="S145" s="15"/>
    </row>
    <row r="146" spans="1:19" x14ac:dyDescent="0.25">
      <c r="A146" s="16" t="s">
        <v>37</v>
      </c>
      <c r="B146" s="16" t="s">
        <v>100</v>
      </c>
      <c r="C146" s="16" t="s">
        <v>101</v>
      </c>
      <c r="D146" s="16" t="s">
        <v>154</v>
      </c>
      <c r="E146" s="16" t="s">
        <v>155</v>
      </c>
      <c r="F146" s="16" t="s">
        <v>85</v>
      </c>
      <c r="G146" s="16" t="s">
        <v>40</v>
      </c>
      <c r="H146" s="16" t="s">
        <v>138</v>
      </c>
      <c r="I146" s="16" t="s">
        <v>139</v>
      </c>
      <c r="J146" s="15">
        <v>-762.85030381145282</v>
      </c>
      <c r="K146" s="15">
        <v>0</v>
      </c>
      <c r="L146" s="15">
        <v>-762.8503038114527</v>
      </c>
      <c r="M146" s="15">
        <f t="shared" si="12"/>
        <v>0</v>
      </c>
      <c r="N146" s="15">
        <v>0</v>
      </c>
      <c r="O146" s="15">
        <f t="shared" si="11"/>
        <v>0</v>
      </c>
      <c r="P146" s="36">
        <v>0</v>
      </c>
      <c r="Q146" s="15">
        <f t="shared" si="13"/>
        <v>0</v>
      </c>
      <c r="R146" s="36"/>
      <c r="S146" s="15"/>
    </row>
    <row r="147" spans="1:19" x14ac:dyDescent="0.25">
      <c r="A147" s="16" t="s">
        <v>37</v>
      </c>
      <c r="B147" s="16" t="s">
        <v>100</v>
      </c>
      <c r="C147" s="16" t="s">
        <v>101</v>
      </c>
      <c r="D147" s="16" t="s">
        <v>156</v>
      </c>
      <c r="E147" s="16" t="s">
        <v>157</v>
      </c>
      <c r="F147" s="16" t="s">
        <v>85</v>
      </c>
      <c r="G147" s="16" t="s">
        <v>40</v>
      </c>
      <c r="H147" s="16" t="s">
        <v>38</v>
      </c>
      <c r="I147" s="16" t="s">
        <v>38</v>
      </c>
      <c r="J147" s="15">
        <v>-4103910.9922670117</v>
      </c>
      <c r="K147" s="15">
        <v>-1088486.215614737</v>
      </c>
      <c r="L147" s="15">
        <v>-2909325.1737730764</v>
      </c>
      <c r="M147" s="15">
        <f t="shared" si="12"/>
        <v>-1194585.8184939353</v>
      </c>
      <c r="N147" s="15">
        <v>-1194585.8184939367</v>
      </c>
      <c r="O147" s="15">
        <f t="shared" si="11"/>
        <v>-1194585.8184939367</v>
      </c>
      <c r="P147" s="36">
        <v>0</v>
      </c>
      <c r="Q147" s="15">
        <f t="shared" si="13"/>
        <v>-1194585.8184939367</v>
      </c>
      <c r="R147" s="36"/>
      <c r="S147" s="15"/>
    </row>
    <row r="148" spans="1:19" x14ac:dyDescent="0.25">
      <c r="A148" s="16" t="s">
        <v>37</v>
      </c>
      <c r="B148" s="16" t="s">
        <v>100</v>
      </c>
      <c r="C148" s="16" t="s">
        <v>101</v>
      </c>
      <c r="D148" s="16" t="s">
        <v>156</v>
      </c>
      <c r="E148" s="16" t="s">
        <v>157</v>
      </c>
      <c r="F148" s="16" t="s">
        <v>85</v>
      </c>
      <c r="G148" s="16" t="s">
        <v>40</v>
      </c>
      <c r="H148" s="16" t="s">
        <v>142</v>
      </c>
      <c r="I148" s="16" t="s">
        <v>143</v>
      </c>
      <c r="J148" s="15">
        <v>-7318.0379999999996</v>
      </c>
      <c r="K148" s="15">
        <v>0</v>
      </c>
      <c r="L148" s="15">
        <v>0</v>
      </c>
      <c r="M148" s="15">
        <f t="shared" si="12"/>
        <v>-7318.0379999999996</v>
      </c>
      <c r="N148" s="15">
        <v>-7318.0379999999996</v>
      </c>
      <c r="O148" s="15">
        <f t="shared" si="11"/>
        <v>-7318.0379999999996</v>
      </c>
      <c r="P148" s="36">
        <v>0</v>
      </c>
      <c r="Q148" s="15">
        <f t="shared" si="13"/>
        <v>-7318.0379999999996</v>
      </c>
      <c r="R148" s="36"/>
      <c r="S148" s="15"/>
    </row>
    <row r="149" spans="1:19" x14ac:dyDescent="0.25">
      <c r="A149" s="16" t="s">
        <v>37</v>
      </c>
      <c r="B149" s="16" t="s">
        <v>100</v>
      </c>
      <c r="C149" s="16" t="s">
        <v>101</v>
      </c>
      <c r="D149" s="16" t="s">
        <v>156</v>
      </c>
      <c r="E149" s="16" t="s">
        <v>157</v>
      </c>
      <c r="F149" s="16" t="s">
        <v>85</v>
      </c>
      <c r="G149" s="16" t="s">
        <v>40</v>
      </c>
      <c r="H149" s="16" t="s">
        <v>130</v>
      </c>
      <c r="I149" s="16" t="s">
        <v>131</v>
      </c>
      <c r="J149" s="15">
        <v>-751.4600000025946</v>
      </c>
      <c r="K149" s="15">
        <v>-751.4600000025946</v>
      </c>
      <c r="L149" s="15">
        <v>0</v>
      </c>
      <c r="M149" s="15">
        <f t="shared" si="12"/>
        <v>-751.4600000025946</v>
      </c>
      <c r="N149" s="15">
        <v>-751.4600000025946</v>
      </c>
      <c r="O149" s="15">
        <f t="shared" si="11"/>
        <v>-751.4600000025946</v>
      </c>
      <c r="P149" s="36">
        <v>0</v>
      </c>
      <c r="Q149" s="15">
        <f t="shared" si="13"/>
        <v>-751.4600000025946</v>
      </c>
      <c r="R149" s="36"/>
      <c r="S149" s="15"/>
    </row>
    <row r="150" spans="1:19" x14ac:dyDescent="0.25">
      <c r="A150" s="16" t="s">
        <v>37</v>
      </c>
      <c r="B150" s="16" t="s">
        <v>100</v>
      </c>
      <c r="C150" s="16" t="s">
        <v>101</v>
      </c>
      <c r="D150" s="16" t="s">
        <v>156</v>
      </c>
      <c r="E150" s="16" t="s">
        <v>157</v>
      </c>
      <c r="F150" s="16" t="s">
        <v>85</v>
      </c>
      <c r="G150" s="16" t="s">
        <v>40</v>
      </c>
      <c r="H150" s="16" t="s">
        <v>124</v>
      </c>
      <c r="I150" s="16" t="s">
        <v>125</v>
      </c>
      <c r="J150" s="15">
        <v>-3168.3553754612785</v>
      </c>
      <c r="K150" s="15">
        <v>0</v>
      </c>
      <c r="L150" s="15">
        <v>-3043.1141487295999</v>
      </c>
      <c r="M150" s="15">
        <f t="shared" si="12"/>
        <v>-125.24122673167858</v>
      </c>
      <c r="N150" s="15">
        <v>0</v>
      </c>
      <c r="O150" s="15">
        <f t="shared" si="11"/>
        <v>0</v>
      </c>
      <c r="P150" s="36">
        <v>0</v>
      </c>
      <c r="Q150" s="15">
        <f t="shared" si="13"/>
        <v>0</v>
      </c>
      <c r="R150" s="36"/>
      <c r="S150" s="15"/>
    </row>
    <row r="151" spans="1:19" x14ac:dyDescent="0.25">
      <c r="A151" s="16" t="s">
        <v>37</v>
      </c>
      <c r="B151" s="16" t="s">
        <v>100</v>
      </c>
      <c r="C151" s="16" t="s">
        <v>101</v>
      </c>
      <c r="D151" s="16" t="s">
        <v>156</v>
      </c>
      <c r="E151" s="16" t="s">
        <v>157</v>
      </c>
      <c r="F151" s="16" t="s">
        <v>85</v>
      </c>
      <c r="G151" s="16" t="s">
        <v>40</v>
      </c>
      <c r="H151" s="16" t="s">
        <v>132</v>
      </c>
      <c r="I151" s="16" t="s">
        <v>133</v>
      </c>
      <c r="J151" s="15">
        <v>-11223.64294964227</v>
      </c>
      <c r="K151" s="15">
        <v>-11223.64294964227</v>
      </c>
      <c r="L151" s="15">
        <v>-11223.639997953103</v>
      </c>
      <c r="M151" s="15">
        <f t="shared" si="12"/>
        <v>-2.9516891663661227E-3</v>
      </c>
      <c r="N151" s="15">
        <v>0</v>
      </c>
      <c r="O151" s="15">
        <f t="shared" si="11"/>
        <v>0</v>
      </c>
      <c r="P151" s="36">
        <v>0</v>
      </c>
      <c r="Q151" s="15">
        <f t="shared" si="13"/>
        <v>0</v>
      </c>
      <c r="R151" s="36"/>
      <c r="S151" s="15"/>
    </row>
    <row r="152" spans="1:19" x14ac:dyDescent="0.25">
      <c r="A152" s="16" t="s">
        <v>37</v>
      </c>
      <c r="B152" s="16" t="s">
        <v>100</v>
      </c>
      <c r="C152" s="16" t="s">
        <v>101</v>
      </c>
      <c r="D152" s="16" t="s">
        <v>156</v>
      </c>
      <c r="E152" s="16" t="s">
        <v>157</v>
      </c>
      <c r="F152" s="16" t="s">
        <v>85</v>
      </c>
      <c r="G152" s="16" t="s">
        <v>40</v>
      </c>
      <c r="H152" s="16" t="s">
        <v>64</v>
      </c>
      <c r="I152" s="16" t="s">
        <v>65</v>
      </c>
      <c r="J152" s="15">
        <v>-17156.401955659559</v>
      </c>
      <c r="K152" s="15">
        <v>0</v>
      </c>
      <c r="L152" s="15">
        <v>-15041.949976164544</v>
      </c>
      <c r="M152" s="15">
        <f t="shared" si="12"/>
        <v>-2114.4519794950156</v>
      </c>
      <c r="N152" s="15">
        <v>-2114.4519794950129</v>
      </c>
      <c r="O152" s="15">
        <f t="shared" si="11"/>
        <v>-2114.4519794950129</v>
      </c>
      <c r="P152" s="36">
        <v>0</v>
      </c>
      <c r="Q152" s="15">
        <f t="shared" si="13"/>
        <v>-2114.4519794950129</v>
      </c>
      <c r="R152" s="36"/>
      <c r="S152" s="15"/>
    </row>
    <row r="153" spans="1:19" x14ac:dyDescent="0.25">
      <c r="A153" s="16" t="s">
        <v>37</v>
      </c>
      <c r="B153" s="16" t="s">
        <v>100</v>
      </c>
      <c r="C153" s="16" t="s">
        <v>101</v>
      </c>
      <c r="D153" s="16" t="s">
        <v>156</v>
      </c>
      <c r="E153" s="16" t="s">
        <v>157</v>
      </c>
      <c r="F153" s="16" t="s">
        <v>85</v>
      </c>
      <c r="G153" s="16" t="s">
        <v>40</v>
      </c>
      <c r="H153" s="16" t="s">
        <v>66</v>
      </c>
      <c r="I153" s="16" t="s">
        <v>63</v>
      </c>
      <c r="J153" s="15">
        <v>-5911.1321866264789</v>
      </c>
      <c r="K153" s="15">
        <v>-5911.1321866264789</v>
      </c>
      <c r="L153" s="15">
        <v>-5911.1299949878949</v>
      </c>
      <c r="M153" s="15">
        <f t="shared" si="12"/>
        <v>-2.191638584008615E-3</v>
      </c>
      <c r="N153" s="15">
        <v>0</v>
      </c>
      <c r="O153" s="15">
        <f t="shared" si="11"/>
        <v>0</v>
      </c>
      <c r="P153" s="36">
        <v>0</v>
      </c>
      <c r="Q153" s="15">
        <f t="shared" si="13"/>
        <v>0</v>
      </c>
      <c r="R153" s="36"/>
      <c r="S153" s="15"/>
    </row>
    <row r="154" spans="1:19" x14ac:dyDescent="0.25">
      <c r="A154" s="16" t="s">
        <v>37</v>
      </c>
      <c r="B154" s="16" t="s">
        <v>100</v>
      </c>
      <c r="C154" s="16" t="s">
        <v>101</v>
      </c>
      <c r="D154" s="16" t="s">
        <v>156</v>
      </c>
      <c r="E154" s="16" t="s">
        <v>157</v>
      </c>
      <c r="F154" s="16" t="s">
        <v>85</v>
      </c>
      <c r="G154" s="16" t="s">
        <v>40</v>
      </c>
      <c r="H154" s="16" t="s">
        <v>67</v>
      </c>
      <c r="I154" s="16" t="s">
        <v>68</v>
      </c>
      <c r="J154" s="15">
        <v>-3765</v>
      </c>
      <c r="K154" s="15">
        <v>0</v>
      </c>
      <c r="L154" s="15">
        <v>0</v>
      </c>
      <c r="M154" s="15">
        <f t="shared" si="12"/>
        <v>-3765</v>
      </c>
      <c r="N154" s="15">
        <v>-3765</v>
      </c>
      <c r="O154" s="15">
        <f t="shared" si="11"/>
        <v>-3765</v>
      </c>
      <c r="P154" s="36">
        <v>0</v>
      </c>
      <c r="Q154" s="15">
        <f t="shared" si="13"/>
        <v>-3765</v>
      </c>
      <c r="R154" s="36"/>
      <c r="S154" s="15"/>
    </row>
    <row r="155" spans="1:19" x14ac:dyDescent="0.25">
      <c r="A155" s="16" t="s">
        <v>37</v>
      </c>
      <c r="B155" s="16" t="s">
        <v>100</v>
      </c>
      <c r="C155" s="16" t="s">
        <v>101</v>
      </c>
      <c r="D155" s="16" t="s">
        <v>156</v>
      </c>
      <c r="E155" s="16" t="s">
        <v>157</v>
      </c>
      <c r="F155" s="16" t="s">
        <v>85</v>
      </c>
      <c r="G155" s="16" t="s">
        <v>40</v>
      </c>
      <c r="H155" s="16" t="s">
        <v>69</v>
      </c>
      <c r="I155" s="16" t="s">
        <v>70</v>
      </c>
      <c r="J155" s="15">
        <v>-2952.3136560193198</v>
      </c>
      <c r="K155" s="15">
        <v>-2952.3136560593198</v>
      </c>
      <c r="L155" s="15">
        <v>-2957.9109635351942</v>
      </c>
      <c r="M155" s="15">
        <f t="shared" si="12"/>
        <v>5.5973075158744905</v>
      </c>
      <c r="N155" s="15">
        <v>0</v>
      </c>
      <c r="O155" s="15">
        <f t="shared" si="11"/>
        <v>0</v>
      </c>
      <c r="P155" s="36">
        <v>0</v>
      </c>
      <c r="Q155" s="15">
        <f t="shared" si="13"/>
        <v>0</v>
      </c>
      <c r="R155" s="36"/>
      <c r="S155" s="15">
        <f>M155</f>
        <v>5.5973075158744905</v>
      </c>
    </row>
    <row r="156" spans="1:19" x14ac:dyDescent="0.25">
      <c r="A156" s="16" t="s">
        <v>37</v>
      </c>
      <c r="B156" s="16" t="s">
        <v>100</v>
      </c>
      <c r="C156" s="16" t="s">
        <v>101</v>
      </c>
      <c r="D156" s="16" t="s">
        <v>156</v>
      </c>
      <c r="E156" s="16" t="s">
        <v>157</v>
      </c>
      <c r="F156" s="16" t="s">
        <v>85</v>
      </c>
      <c r="G156" s="16" t="s">
        <v>40</v>
      </c>
      <c r="H156" s="16" t="s">
        <v>136</v>
      </c>
      <c r="I156" s="16" t="s">
        <v>137</v>
      </c>
      <c r="J156" s="15">
        <v>-54046.000000000029</v>
      </c>
      <c r="K156" s="15">
        <v>0</v>
      </c>
      <c r="L156" s="15">
        <v>-54046</v>
      </c>
      <c r="M156" s="15">
        <f t="shared" si="12"/>
        <v>0</v>
      </c>
      <c r="N156" s="15">
        <v>-3.637978807091713E-11</v>
      </c>
      <c r="O156" s="15">
        <f t="shared" si="11"/>
        <v>-3.637978807091713E-11</v>
      </c>
      <c r="P156" s="36">
        <v>0</v>
      </c>
      <c r="Q156" s="15">
        <f t="shared" si="13"/>
        <v>-3.637978807091713E-11</v>
      </c>
      <c r="R156" s="36"/>
      <c r="S156" s="15"/>
    </row>
    <row r="157" spans="1:19" x14ac:dyDescent="0.25">
      <c r="A157" s="16" t="s">
        <v>37</v>
      </c>
      <c r="B157" s="16" t="s">
        <v>100</v>
      </c>
      <c r="C157" s="16" t="s">
        <v>101</v>
      </c>
      <c r="D157" s="16" t="s">
        <v>158</v>
      </c>
      <c r="E157" s="16" t="s">
        <v>159</v>
      </c>
      <c r="F157" s="16" t="s">
        <v>85</v>
      </c>
      <c r="G157" s="16" t="s">
        <v>40</v>
      </c>
      <c r="H157" s="16" t="s">
        <v>38</v>
      </c>
      <c r="I157" s="16" t="s">
        <v>38</v>
      </c>
      <c r="J157" s="15">
        <v>-12849274.05908655</v>
      </c>
      <c r="K157" s="15">
        <v>-1807660.2602380973</v>
      </c>
      <c r="L157" s="15">
        <v>-8391284.6284175739</v>
      </c>
      <c r="M157" s="15">
        <f t="shared" si="12"/>
        <v>-4457989.4306689762</v>
      </c>
      <c r="N157" s="15">
        <v>-4457989.4306689762</v>
      </c>
      <c r="O157" s="15">
        <f t="shared" si="11"/>
        <v>-4457989.4306689762</v>
      </c>
      <c r="P157" s="36">
        <v>0</v>
      </c>
      <c r="Q157" s="15">
        <f t="shared" si="13"/>
        <v>-4457989.4306689762</v>
      </c>
      <c r="R157" s="36"/>
      <c r="S157" s="15"/>
    </row>
    <row r="158" spans="1:19" x14ac:dyDescent="0.25">
      <c r="A158" s="16" t="s">
        <v>37</v>
      </c>
      <c r="B158" s="16" t="s">
        <v>100</v>
      </c>
      <c r="C158" s="16" t="s">
        <v>101</v>
      </c>
      <c r="D158" s="16" t="s">
        <v>158</v>
      </c>
      <c r="E158" s="16" t="s">
        <v>159</v>
      </c>
      <c r="F158" s="16" t="s">
        <v>85</v>
      </c>
      <c r="G158" s="16" t="s">
        <v>40</v>
      </c>
      <c r="H158" s="16" t="s">
        <v>142</v>
      </c>
      <c r="I158" s="16" t="s">
        <v>143</v>
      </c>
      <c r="J158" s="15">
        <v>-8696843.3640000001</v>
      </c>
      <c r="K158" s="15">
        <v>-4230201.5</v>
      </c>
      <c r="L158" s="15">
        <v>-2948427.1300000004</v>
      </c>
      <c r="M158" s="15">
        <f t="shared" si="12"/>
        <v>-5748416.2339999992</v>
      </c>
      <c r="N158" s="15">
        <v>-4466641.8640000001</v>
      </c>
      <c r="O158" s="15">
        <f t="shared" ref="O158:O178" si="14">N158-P158</f>
        <v>-4466641.8640000001</v>
      </c>
      <c r="P158" s="36">
        <v>0</v>
      </c>
      <c r="Q158" s="15">
        <f t="shared" si="13"/>
        <v>-4466641.8640000001</v>
      </c>
      <c r="R158" s="36"/>
      <c r="S158" s="15"/>
    </row>
    <row r="159" spans="1:19" x14ac:dyDescent="0.25">
      <c r="A159" s="16" t="s">
        <v>37</v>
      </c>
      <c r="B159" s="16" t="s">
        <v>100</v>
      </c>
      <c r="C159" s="16" t="s">
        <v>101</v>
      </c>
      <c r="D159" s="16" t="s">
        <v>158</v>
      </c>
      <c r="E159" s="16" t="s">
        <v>159</v>
      </c>
      <c r="F159" s="16" t="s">
        <v>85</v>
      </c>
      <c r="G159" s="16" t="s">
        <v>40</v>
      </c>
      <c r="H159" s="16" t="s">
        <v>130</v>
      </c>
      <c r="I159" s="16" t="s">
        <v>131</v>
      </c>
      <c r="J159" s="15">
        <v>-17758.650000061316</v>
      </c>
      <c r="K159" s="15">
        <v>-17758.650000061316</v>
      </c>
      <c r="L159" s="15">
        <v>0</v>
      </c>
      <c r="M159" s="15">
        <f t="shared" si="12"/>
        <v>-17758.650000061316</v>
      </c>
      <c r="N159" s="15">
        <v>-17758.650000061316</v>
      </c>
      <c r="O159" s="15">
        <f t="shared" si="14"/>
        <v>-17758.650000061316</v>
      </c>
      <c r="P159" s="36">
        <v>0</v>
      </c>
      <c r="Q159" s="15">
        <f t="shared" si="13"/>
        <v>-17758.650000061316</v>
      </c>
      <c r="R159" s="36"/>
      <c r="S159" s="15"/>
    </row>
    <row r="160" spans="1:19" x14ac:dyDescent="0.25">
      <c r="A160" s="16" t="s">
        <v>37</v>
      </c>
      <c r="B160" s="16" t="s">
        <v>100</v>
      </c>
      <c r="C160" s="16" t="s">
        <v>101</v>
      </c>
      <c r="D160" s="16" t="s">
        <v>158</v>
      </c>
      <c r="E160" s="16" t="s">
        <v>159</v>
      </c>
      <c r="F160" s="16" t="s">
        <v>85</v>
      </c>
      <c r="G160" s="16" t="s">
        <v>40</v>
      </c>
      <c r="H160" s="16" t="s">
        <v>124</v>
      </c>
      <c r="I160" s="16" t="s">
        <v>125</v>
      </c>
      <c r="J160" s="15">
        <v>-265262.55963388254</v>
      </c>
      <c r="K160" s="15">
        <v>0</v>
      </c>
      <c r="L160" s="15">
        <v>-213709.62173788919</v>
      </c>
      <c r="M160" s="15">
        <f t="shared" si="12"/>
        <v>-51552.937895993353</v>
      </c>
      <c r="N160" s="15">
        <v>0</v>
      </c>
      <c r="O160" s="15">
        <f t="shared" si="14"/>
        <v>0</v>
      </c>
      <c r="P160" s="36">
        <v>0</v>
      </c>
      <c r="Q160" s="15">
        <f t="shared" si="13"/>
        <v>0</v>
      </c>
      <c r="R160" s="36"/>
      <c r="S160" s="15"/>
    </row>
    <row r="161" spans="1:19" x14ac:dyDescent="0.25">
      <c r="A161" s="16" t="s">
        <v>37</v>
      </c>
      <c r="B161" s="16" t="s">
        <v>100</v>
      </c>
      <c r="C161" s="16" t="s">
        <v>101</v>
      </c>
      <c r="D161" s="16" t="s">
        <v>158</v>
      </c>
      <c r="E161" s="16" t="s">
        <v>159</v>
      </c>
      <c r="F161" s="16" t="s">
        <v>85</v>
      </c>
      <c r="G161" s="16" t="s">
        <v>40</v>
      </c>
      <c r="H161" s="16" t="s">
        <v>132</v>
      </c>
      <c r="I161" s="16" t="s">
        <v>133</v>
      </c>
      <c r="J161" s="15">
        <v>-48281.162778849714</v>
      </c>
      <c r="K161" s="15">
        <v>-48281.162778849714</v>
      </c>
      <c r="L161" s="15">
        <v>-48281.16999119478</v>
      </c>
      <c r="M161" s="15">
        <f t="shared" si="12"/>
        <v>7.2123450663639233E-3</v>
      </c>
      <c r="N161" s="15">
        <v>0</v>
      </c>
      <c r="O161" s="15">
        <f t="shared" si="14"/>
        <v>0</v>
      </c>
      <c r="P161" s="36">
        <v>0</v>
      </c>
      <c r="Q161" s="15">
        <f t="shared" si="13"/>
        <v>0</v>
      </c>
      <c r="R161" s="36"/>
      <c r="S161" s="15"/>
    </row>
    <row r="162" spans="1:19" x14ac:dyDescent="0.25">
      <c r="A162" s="16" t="s">
        <v>37</v>
      </c>
      <c r="B162" s="16" t="s">
        <v>100</v>
      </c>
      <c r="C162" s="16" t="s">
        <v>101</v>
      </c>
      <c r="D162" s="16" t="s">
        <v>158</v>
      </c>
      <c r="E162" s="16" t="s">
        <v>159</v>
      </c>
      <c r="F162" s="16" t="s">
        <v>85</v>
      </c>
      <c r="G162" s="16" t="s">
        <v>40</v>
      </c>
      <c r="H162" s="16" t="s">
        <v>64</v>
      </c>
      <c r="I162" s="16" t="s">
        <v>65</v>
      </c>
      <c r="J162" s="15">
        <v>-104248.26447450178</v>
      </c>
      <c r="K162" s="15">
        <v>0</v>
      </c>
      <c r="L162" s="15">
        <v>-97748.279845108191</v>
      </c>
      <c r="M162" s="15">
        <f t="shared" si="12"/>
        <v>-6499.9846293935843</v>
      </c>
      <c r="N162" s="15">
        <v>-6499.9846293935843</v>
      </c>
      <c r="O162" s="15">
        <f t="shared" si="14"/>
        <v>-6499.9846293935843</v>
      </c>
      <c r="P162" s="36">
        <v>0</v>
      </c>
      <c r="Q162" s="15">
        <f t="shared" si="13"/>
        <v>-6499.9846293935843</v>
      </c>
      <c r="R162" s="36"/>
      <c r="S162" s="15"/>
    </row>
    <row r="163" spans="1:19" x14ac:dyDescent="0.25">
      <c r="A163" s="16" t="s">
        <v>37</v>
      </c>
      <c r="B163" s="16" t="s">
        <v>100</v>
      </c>
      <c r="C163" s="16" t="s">
        <v>101</v>
      </c>
      <c r="D163" s="16" t="s">
        <v>158</v>
      </c>
      <c r="E163" s="16" t="s">
        <v>159</v>
      </c>
      <c r="F163" s="16" t="s">
        <v>85</v>
      </c>
      <c r="G163" s="16" t="s">
        <v>40</v>
      </c>
      <c r="H163" s="16" t="s">
        <v>66</v>
      </c>
      <c r="I163" s="16" t="s">
        <v>63</v>
      </c>
      <c r="J163" s="15">
        <v>-50363.076552686252</v>
      </c>
      <c r="K163" s="15">
        <v>-50363.076552686252</v>
      </c>
      <c r="L163" s="15">
        <v>-50363.059957296668</v>
      </c>
      <c r="M163" s="15">
        <f t="shared" si="12"/>
        <v>-1.6595389584836084E-2</v>
      </c>
      <c r="N163" s="15">
        <v>0</v>
      </c>
      <c r="O163" s="15">
        <f t="shared" si="14"/>
        <v>0</v>
      </c>
      <c r="P163" s="36">
        <v>0</v>
      </c>
      <c r="Q163" s="15">
        <f t="shared" si="13"/>
        <v>0</v>
      </c>
      <c r="R163" s="36"/>
      <c r="S163" s="15"/>
    </row>
    <row r="164" spans="1:19" x14ac:dyDescent="0.25">
      <c r="A164" s="16" t="s">
        <v>37</v>
      </c>
      <c r="B164" s="16" t="s">
        <v>100</v>
      </c>
      <c r="C164" s="16" t="s">
        <v>101</v>
      </c>
      <c r="D164" s="16" t="s">
        <v>158</v>
      </c>
      <c r="E164" s="16" t="s">
        <v>159</v>
      </c>
      <c r="F164" s="16" t="s">
        <v>85</v>
      </c>
      <c r="G164" s="16" t="s">
        <v>40</v>
      </c>
      <c r="H164" s="16" t="s">
        <v>67</v>
      </c>
      <c r="I164" s="16" t="s">
        <v>68</v>
      </c>
      <c r="J164" s="15">
        <v>-8555</v>
      </c>
      <c r="K164" s="15">
        <v>0</v>
      </c>
      <c r="L164" s="15">
        <v>-2012.33</v>
      </c>
      <c r="M164" s="15">
        <f t="shared" si="12"/>
        <v>-6542.67</v>
      </c>
      <c r="N164" s="15">
        <v>-6542.6699999999992</v>
      </c>
      <c r="O164" s="15">
        <f t="shared" si="14"/>
        <v>-6542.6699999999992</v>
      </c>
      <c r="P164" s="36">
        <v>0</v>
      </c>
      <c r="Q164" s="15">
        <f t="shared" si="13"/>
        <v>-6542.6699999999992</v>
      </c>
      <c r="R164" s="36"/>
      <c r="S164" s="15"/>
    </row>
    <row r="165" spans="1:19" x14ac:dyDescent="0.25">
      <c r="A165" s="16" t="s">
        <v>37</v>
      </c>
      <c r="B165" s="16" t="s">
        <v>100</v>
      </c>
      <c r="C165" s="16" t="s">
        <v>101</v>
      </c>
      <c r="D165" s="16" t="s">
        <v>158</v>
      </c>
      <c r="E165" s="16" t="s">
        <v>159</v>
      </c>
      <c r="F165" s="16" t="s">
        <v>85</v>
      </c>
      <c r="G165" s="16" t="s">
        <v>40</v>
      </c>
      <c r="H165" s="16" t="s">
        <v>69</v>
      </c>
      <c r="I165" s="16" t="s">
        <v>70</v>
      </c>
      <c r="J165" s="15">
        <v>-15828.311332794641</v>
      </c>
      <c r="K165" s="15">
        <v>-15828.311334813639</v>
      </c>
      <c r="L165" s="15">
        <v>-16068.513374582883</v>
      </c>
      <c r="M165" s="15">
        <f t="shared" si="12"/>
        <v>240.20204178824133</v>
      </c>
      <c r="N165" s="15">
        <v>0</v>
      </c>
      <c r="O165" s="15">
        <f t="shared" si="14"/>
        <v>0</v>
      </c>
      <c r="P165" s="36">
        <v>0</v>
      </c>
      <c r="Q165" s="15">
        <f t="shared" si="13"/>
        <v>0</v>
      </c>
      <c r="R165" s="36"/>
      <c r="S165" s="15">
        <f>M165</f>
        <v>240.20204178824133</v>
      </c>
    </row>
    <row r="166" spans="1:19" x14ac:dyDescent="0.25">
      <c r="A166" s="16" t="s">
        <v>37</v>
      </c>
      <c r="B166" s="16" t="s">
        <v>100</v>
      </c>
      <c r="C166" s="16" t="s">
        <v>101</v>
      </c>
      <c r="D166" s="16" t="s">
        <v>158</v>
      </c>
      <c r="E166" s="16" t="s">
        <v>159</v>
      </c>
      <c r="F166" s="16" t="s">
        <v>85</v>
      </c>
      <c r="G166" s="16" t="s">
        <v>40</v>
      </c>
      <c r="H166" s="16" t="s">
        <v>136</v>
      </c>
      <c r="I166" s="16" t="s">
        <v>137</v>
      </c>
      <c r="J166" s="15">
        <v>-60558.100000000028</v>
      </c>
      <c r="K166" s="15">
        <v>0</v>
      </c>
      <c r="L166" s="15">
        <v>-60558.100000000006</v>
      </c>
      <c r="M166" s="15">
        <f t="shared" si="12"/>
        <v>0</v>
      </c>
      <c r="N166" s="15">
        <v>-2.5465851649641991E-11</v>
      </c>
      <c r="O166" s="15">
        <f t="shared" si="14"/>
        <v>-2.5465851649641991E-11</v>
      </c>
      <c r="P166" s="36">
        <v>0</v>
      </c>
      <c r="Q166" s="15">
        <f t="shared" si="13"/>
        <v>-2.5465851649641991E-11</v>
      </c>
      <c r="R166" s="36"/>
      <c r="S166" s="15"/>
    </row>
    <row r="167" spans="1:19" x14ac:dyDescent="0.25">
      <c r="A167" s="16" t="s">
        <v>37</v>
      </c>
      <c r="B167" s="16" t="s">
        <v>100</v>
      </c>
      <c r="C167" s="16" t="s">
        <v>101</v>
      </c>
      <c r="D167" s="16" t="s">
        <v>158</v>
      </c>
      <c r="E167" s="16" t="s">
        <v>159</v>
      </c>
      <c r="F167" s="16" t="s">
        <v>85</v>
      </c>
      <c r="G167" s="16" t="s">
        <v>40</v>
      </c>
      <c r="H167" s="16" t="s">
        <v>138</v>
      </c>
      <c r="I167" s="16" t="s">
        <v>139</v>
      </c>
      <c r="J167" s="15">
        <v>-1844.5306047294634</v>
      </c>
      <c r="K167" s="15">
        <v>0</v>
      </c>
      <c r="L167" s="15">
        <v>-1844.530604729463</v>
      </c>
      <c r="M167" s="15">
        <f t="shared" si="12"/>
        <v>0</v>
      </c>
      <c r="N167" s="15">
        <v>0</v>
      </c>
      <c r="O167" s="15">
        <f t="shared" si="14"/>
        <v>0</v>
      </c>
      <c r="P167" s="36">
        <v>0</v>
      </c>
      <c r="Q167" s="15">
        <f t="shared" si="13"/>
        <v>0</v>
      </c>
      <c r="R167" s="36"/>
      <c r="S167" s="15"/>
    </row>
    <row r="168" spans="1:19" x14ac:dyDescent="0.25">
      <c r="A168" s="16" t="s">
        <v>37</v>
      </c>
      <c r="B168" s="16" t="s">
        <v>100</v>
      </c>
      <c r="C168" s="16" t="s">
        <v>101</v>
      </c>
      <c r="D168" s="16" t="s">
        <v>160</v>
      </c>
      <c r="E168" s="16" t="s">
        <v>161</v>
      </c>
      <c r="F168" s="16" t="s">
        <v>85</v>
      </c>
      <c r="G168" s="16" t="s">
        <v>40</v>
      </c>
      <c r="H168" s="16" t="s">
        <v>38</v>
      </c>
      <c r="I168" s="16" t="s">
        <v>38</v>
      </c>
      <c r="J168" s="15">
        <v>-11679636.269852137</v>
      </c>
      <c r="K168" s="15">
        <v>-1586506.9582102329</v>
      </c>
      <c r="L168" s="15">
        <v>-9796044.5620403625</v>
      </c>
      <c r="M168" s="15">
        <f t="shared" si="12"/>
        <v>-1883591.7078117747</v>
      </c>
      <c r="N168" s="15">
        <v>-1883591.7078117738</v>
      </c>
      <c r="O168" s="15">
        <f t="shared" si="14"/>
        <v>-1883591.7078117738</v>
      </c>
      <c r="P168" s="36">
        <v>0</v>
      </c>
      <c r="Q168" s="15">
        <f t="shared" si="13"/>
        <v>-1883591.7078117738</v>
      </c>
      <c r="R168" s="36"/>
      <c r="S168" s="15"/>
    </row>
    <row r="169" spans="1:19" x14ac:dyDescent="0.25">
      <c r="A169" s="16" t="s">
        <v>37</v>
      </c>
      <c r="B169" s="16" t="s">
        <v>100</v>
      </c>
      <c r="C169" s="16" t="s">
        <v>101</v>
      </c>
      <c r="D169" s="16" t="s">
        <v>160</v>
      </c>
      <c r="E169" s="16" t="s">
        <v>161</v>
      </c>
      <c r="F169" s="16" t="s">
        <v>85</v>
      </c>
      <c r="G169" s="16" t="s">
        <v>40</v>
      </c>
      <c r="H169" s="16" t="s">
        <v>142</v>
      </c>
      <c r="I169" s="16" t="s">
        <v>143</v>
      </c>
      <c r="J169" s="15">
        <v>-9151.155999999999</v>
      </c>
      <c r="K169" s="15">
        <v>0</v>
      </c>
      <c r="L169" s="15">
        <v>0</v>
      </c>
      <c r="M169" s="15">
        <f t="shared" si="12"/>
        <v>-9151.155999999999</v>
      </c>
      <c r="N169" s="15">
        <v>-9151.155999999999</v>
      </c>
      <c r="O169" s="15">
        <f t="shared" si="14"/>
        <v>-9151.155999999999</v>
      </c>
      <c r="P169" s="36">
        <v>0</v>
      </c>
      <c r="Q169" s="15">
        <f t="shared" si="13"/>
        <v>-9151.155999999999</v>
      </c>
      <c r="R169" s="36"/>
      <c r="S169" s="15"/>
    </row>
    <row r="170" spans="1:19" x14ac:dyDescent="0.25">
      <c r="A170" s="16" t="s">
        <v>37</v>
      </c>
      <c r="B170" s="16" t="s">
        <v>100</v>
      </c>
      <c r="C170" s="16" t="s">
        <v>101</v>
      </c>
      <c r="D170" s="16" t="s">
        <v>160</v>
      </c>
      <c r="E170" s="16" t="s">
        <v>161</v>
      </c>
      <c r="F170" s="16" t="s">
        <v>85</v>
      </c>
      <c r="G170" s="16" t="s">
        <v>40</v>
      </c>
      <c r="H170" s="16" t="s">
        <v>130</v>
      </c>
      <c r="I170" s="16" t="s">
        <v>131</v>
      </c>
      <c r="J170" s="15">
        <v>-37370.020000129021</v>
      </c>
      <c r="K170" s="15">
        <v>-37370.020000129021</v>
      </c>
      <c r="L170" s="15">
        <v>-31244</v>
      </c>
      <c r="M170" s="15">
        <f t="shared" si="12"/>
        <v>-6126.0200001290214</v>
      </c>
      <c r="N170" s="15">
        <v>-6126.0200001290232</v>
      </c>
      <c r="O170" s="15">
        <f t="shared" si="14"/>
        <v>-6126.0200001290232</v>
      </c>
      <c r="P170" s="36">
        <v>0</v>
      </c>
      <c r="Q170" s="15">
        <f t="shared" si="13"/>
        <v>-6126.0200001290232</v>
      </c>
      <c r="R170" s="36"/>
      <c r="S170" s="15"/>
    </row>
    <row r="171" spans="1:19" x14ac:dyDescent="0.25">
      <c r="A171" s="16" t="s">
        <v>37</v>
      </c>
      <c r="B171" s="16" t="s">
        <v>100</v>
      </c>
      <c r="C171" s="16" t="s">
        <v>101</v>
      </c>
      <c r="D171" s="16" t="s">
        <v>160</v>
      </c>
      <c r="E171" s="16" t="s">
        <v>161</v>
      </c>
      <c r="F171" s="16" t="s">
        <v>85</v>
      </c>
      <c r="G171" s="16" t="s">
        <v>40</v>
      </c>
      <c r="H171" s="16" t="s">
        <v>124</v>
      </c>
      <c r="I171" s="16" t="s">
        <v>125</v>
      </c>
      <c r="J171" s="15">
        <v>-662193.13456012006</v>
      </c>
      <c r="K171" s="15">
        <v>0</v>
      </c>
      <c r="L171" s="15">
        <v>-519254.67538907833</v>
      </c>
      <c r="M171" s="15">
        <f t="shared" si="12"/>
        <v>-142938.45917104173</v>
      </c>
      <c r="N171" s="15">
        <v>0</v>
      </c>
      <c r="O171" s="15">
        <f t="shared" si="14"/>
        <v>0</v>
      </c>
      <c r="P171" s="36">
        <v>0</v>
      </c>
      <c r="Q171" s="15">
        <f t="shared" si="13"/>
        <v>0</v>
      </c>
      <c r="R171" s="36"/>
      <c r="S171" s="15"/>
    </row>
    <row r="172" spans="1:19" x14ac:dyDescent="0.25">
      <c r="A172" s="16" t="s">
        <v>37</v>
      </c>
      <c r="B172" s="16" t="s">
        <v>100</v>
      </c>
      <c r="C172" s="16" t="s">
        <v>101</v>
      </c>
      <c r="D172" s="16" t="s">
        <v>160</v>
      </c>
      <c r="E172" s="16" t="s">
        <v>161</v>
      </c>
      <c r="F172" s="16" t="s">
        <v>85</v>
      </c>
      <c r="G172" s="16" t="s">
        <v>40</v>
      </c>
      <c r="H172" s="16" t="s">
        <v>132</v>
      </c>
      <c r="I172" s="16" t="s">
        <v>133</v>
      </c>
      <c r="J172" s="15">
        <v>-72707.093303160771</v>
      </c>
      <c r="K172" s="15">
        <v>-72707.093303160771</v>
      </c>
      <c r="L172" s="15">
        <v>-72707.099986740126</v>
      </c>
      <c r="M172" s="15">
        <f t="shared" si="12"/>
        <v>6.6835793550126255E-3</v>
      </c>
      <c r="N172" s="15">
        <v>0</v>
      </c>
      <c r="O172" s="15">
        <f t="shared" si="14"/>
        <v>0</v>
      </c>
      <c r="P172" s="36">
        <v>0</v>
      </c>
      <c r="Q172" s="15">
        <f t="shared" si="13"/>
        <v>0</v>
      </c>
      <c r="R172" s="36"/>
      <c r="S172" s="15"/>
    </row>
    <row r="173" spans="1:19" x14ac:dyDescent="0.25">
      <c r="A173" s="16" t="s">
        <v>37</v>
      </c>
      <c r="B173" s="16" t="s">
        <v>100</v>
      </c>
      <c r="C173" s="16" t="s">
        <v>101</v>
      </c>
      <c r="D173" s="16" t="s">
        <v>160</v>
      </c>
      <c r="E173" s="16" t="s">
        <v>161</v>
      </c>
      <c r="F173" s="16" t="s">
        <v>85</v>
      </c>
      <c r="G173" s="16" t="s">
        <v>40</v>
      </c>
      <c r="H173" s="16" t="s">
        <v>64</v>
      </c>
      <c r="I173" s="16" t="s">
        <v>65</v>
      </c>
      <c r="J173" s="15">
        <v>-222953.81658840569</v>
      </c>
      <c r="K173" s="15">
        <v>0</v>
      </c>
      <c r="L173" s="15">
        <v>-216453.81965700755</v>
      </c>
      <c r="M173" s="15">
        <f t="shared" si="12"/>
        <v>-6499.9969313981419</v>
      </c>
      <c r="N173" s="15">
        <v>-6499.9969313981746</v>
      </c>
      <c r="O173" s="15">
        <f t="shared" si="14"/>
        <v>-6499.9969313981746</v>
      </c>
      <c r="P173" s="36">
        <v>0</v>
      </c>
      <c r="Q173" s="15">
        <f t="shared" si="13"/>
        <v>-6499.9969313981746</v>
      </c>
      <c r="R173" s="36"/>
      <c r="S173" s="15"/>
    </row>
    <row r="174" spans="1:19" x14ac:dyDescent="0.25">
      <c r="A174" s="16" t="s">
        <v>37</v>
      </c>
      <c r="B174" s="16" t="s">
        <v>100</v>
      </c>
      <c r="C174" s="16" t="s">
        <v>101</v>
      </c>
      <c r="D174" s="16" t="s">
        <v>160</v>
      </c>
      <c r="E174" s="16" t="s">
        <v>161</v>
      </c>
      <c r="F174" s="16" t="s">
        <v>85</v>
      </c>
      <c r="G174" s="16" t="s">
        <v>40</v>
      </c>
      <c r="H174" s="16" t="s">
        <v>66</v>
      </c>
      <c r="I174" s="16" t="s">
        <v>63</v>
      </c>
      <c r="J174" s="15">
        <v>-121482.85338161267</v>
      </c>
      <c r="K174" s="15">
        <v>-121482.85338161267</v>
      </c>
      <c r="L174" s="15">
        <v>-121482.8598969935</v>
      </c>
      <c r="M174" s="15">
        <f t="shared" si="12"/>
        <v>6.5153808245668188E-3</v>
      </c>
      <c r="N174" s="15">
        <v>0</v>
      </c>
      <c r="O174" s="15">
        <f t="shared" si="14"/>
        <v>0</v>
      </c>
      <c r="P174" s="36">
        <v>0</v>
      </c>
      <c r="Q174" s="15">
        <f t="shared" si="13"/>
        <v>0</v>
      </c>
      <c r="R174" s="36"/>
      <c r="S174" s="15"/>
    </row>
    <row r="175" spans="1:19" x14ac:dyDescent="0.25">
      <c r="A175" s="16" t="s">
        <v>37</v>
      </c>
      <c r="B175" s="16" t="s">
        <v>100</v>
      </c>
      <c r="C175" s="16" t="s">
        <v>101</v>
      </c>
      <c r="D175" s="16" t="s">
        <v>160</v>
      </c>
      <c r="E175" s="16" t="s">
        <v>161</v>
      </c>
      <c r="F175" s="16" t="s">
        <v>85</v>
      </c>
      <c r="G175" s="16" t="s">
        <v>40</v>
      </c>
      <c r="H175" s="16" t="s">
        <v>67</v>
      </c>
      <c r="I175" s="16" t="s">
        <v>68</v>
      </c>
      <c r="J175" s="15">
        <v>-6245</v>
      </c>
      <c r="K175" s="15">
        <v>0</v>
      </c>
      <c r="L175" s="15">
        <v>0</v>
      </c>
      <c r="M175" s="15">
        <f t="shared" si="12"/>
        <v>-6245</v>
      </c>
      <c r="N175" s="15">
        <v>-6245</v>
      </c>
      <c r="O175" s="15">
        <f t="shared" si="14"/>
        <v>-6245</v>
      </c>
      <c r="P175" s="36">
        <v>0</v>
      </c>
      <c r="Q175" s="15">
        <f t="shared" si="13"/>
        <v>-6245</v>
      </c>
      <c r="R175" s="36"/>
      <c r="S175" s="15"/>
    </row>
    <row r="176" spans="1:19" x14ac:dyDescent="0.25">
      <c r="A176" s="16" t="s">
        <v>37</v>
      </c>
      <c r="B176" s="16" t="s">
        <v>100</v>
      </c>
      <c r="C176" s="16" t="s">
        <v>101</v>
      </c>
      <c r="D176" s="16" t="s">
        <v>160</v>
      </c>
      <c r="E176" s="16" t="s">
        <v>161</v>
      </c>
      <c r="F176" s="16" t="s">
        <v>85</v>
      </c>
      <c r="G176" s="16" t="s">
        <v>40</v>
      </c>
      <c r="H176" s="16" t="s">
        <v>69</v>
      </c>
      <c r="I176" s="16" t="s">
        <v>70</v>
      </c>
      <c r="J176" s="15">
        <v>-22435.553510496102</v>
      </c>
      <c r="K176" s="15">
        <v>-22435.553511302103</v>
      </c>
      <c r="L176" s="15">
        <v>-22719.604768986603</v>
      </c>
      <c r="M176" s="15">
        <f t="shared" si="12"/>
        <v>284.05125849050091</v>
      </c>
      <c r="N176" s="15">
        <v>0</v>
      </c>
      <c r="O176" s="15">
        <f t="shared" si="14"/>
        <v>0</v>
      </c>
      <c r="P176" s="36">
        <v>0</v>
      </c>
      <c r="Q176" s="15">
        <f t="shared" si="13"/>
        <v>0</v>
      </c>
      <c r="R176" s="36"/>
      <c r="S176" s="15">
        <f>M176</f>
        <v>284.05125849050091</v>
      </c>
    </row>
    <row r="177" spans="1:20" x14ac:dyDescent="0.25">
      <c r="A177" s="16" t="s">
        <v>37</v>
      </c>
      <c r="B177" s="16" t="s">
        <v>100</v>
      </c>
      <c r="C177" s="16" t="s">
        <v>101</v>
      </c>
      <c r="D177" s="16" t="s">
        <v>160</v>
      </c>
      <c r="E177" s="16" t="s">
        <v>161</v>
      </c>
      <c r="F177" s="16" t="s">
        <v>85</v>
      </c>
      <c r="G177" s="16" t="s">
        <v>40</v>
      </c>
      <c r="H177" s="16" t="s">
        <v>136</v>
      </c>
      <c r="I177" s="16" t="s">
        <v>137</v>
      </c>
      <c r="J177" s="15">
        <v>-43236.800000000017</v>
      </c>
      <c r="K177" s="15">
        <v>0</v>
      </c>
      <c r="L177" s="15">
        <v>-43236.800000000003</v>
      </c>
      <c r="M177" s="15">
        <f t="shared" si="12"/>
        <v>0</v>
      </c>
      <c r="N177" s="15">
        <v>-2.5465851649641991E-11</v>
      </c>
      <c r="O177" s="15">
        <f t="shared" si="14"/>
        <v>-2.5465851649641991E-11</v>
      </c>
      <c r="P177" s="36">
        <v>0</v>
      </c>
      <c r="Q177" s="15">
        <f t="shared" si="13"/>
        <v>-2.5465851649641991E-11</v>
      </c>
      <c r="R177" s="36"/>
      <c r="S177" s="15"/>
    </row>
    <row r="178" spans="1:20" x14ac:dyDescent="0.25">
      <c r="A178" s="16" t="s">
        <v>37</v>
      </c>
      <c r="B178" s="16" t="s">
        <v>100</v>
      </c>
      <c r="C178" s="16" t="s">
        <v>101</v>
      </c>
      <c r="D178" s="16" t="s">
        <v>160</v>
      </c>
      <c r="E178" s="16" t="s">
        <v>161</v>
      </c>
      <c r="F178" s="16" t="s">
        <v>85</v>
      </c>
      <c r="G178" s="16" t="s">
        <v>40</v>
      </c>
      <c r="H178" s="16" t="s">
        <v>138</v>
      </c>
      <c r="I178" s="16" t="s">
        <v>139</v>
      </c>
      <c r="J178" s="15">
        <v>-4894.1305205565932</v>
      </c>
      <c r="K178" s="15">
        <v>0</v>
      </c>
      <c r="L178" s="15">
        <v>-4894.1305205565932</v>
      </c>
      <c r="M178" s="15">
        <f t="shared" si="12"/>
        <v>0</v>
      </c>
      <c r="N178" s="15">
        <v>0</v>
      </c>
      <c r="O178" s="15">
        <f t="shared" si="14"/>
        <v>0</v>
      </c>
      <c r="P178" s="36">
        <v>0</v>
      </c>
      <c r="Q178" s="15">
        <f t="shared" si="13"/>
        <v>0</v>
      </c>
      <c r="R178" s="36"/>
      <c r="S178" s="15"/>
    </row>
    <row r="179" spans="1:20" x14ac:dyDescent="0.25">
      <c r="A179" s="16" t="s">
        <v>37</v>
      </c>
      <c r="B179" s="16" t="s">
        <v>100</v>
      </c>
      <c r="C179" s="16" t="s">
        <v>101</v>
      </c>
      <c r="D179" s="16" t="s">
        <v>162</v>
      </c>
      <c r="E179" s="16" t="s">
        <v>163</v>
      </c>
      <c r="F179" s="16" t="s">
        <v>85</v>
      </c>
      <c r="G179" s="16" t="s">
        <v>40</v>
      </c>
      <c r="H179" s="16" t="s">
        <v>38</v>
      </c>
      <c r="I179" s="16" t="s">
        <v>38</v>
      </c>
      <c r="J179" s="15">
        <v>-13073014.27998005</v>
      </c>
      <c r="K179" s="15">
        <v>-1203849.2614566842</v>
      </c>
      <c r="L179" s="15">
        <v>-12110341.851679705</v>
      </c>
      <c r="M179" s="15">
        <f t="shared" si="12"/>
        <v>-962672.42830034532</v>
      </c>
      <c r="N179" s="15">
        <v>-962672.42830034089</v>
      </c>
      <c r="O179" s="15">
        <f>N179-P179-P179+8895</f>
        <v>-953777.42830034089</v>
      </c>
      <c r="P179" s="36">
        <v>0</v>
      </c>
      <c r="Q179" s="15">
        <f t="shared" si="13"/>
        <v>-953777.42830034089</v>
      </c>
      <c r="R179" s="36"/>
      <c r="S179" s="15"/>
    </row>
    <row r="180" spans="1:20" x14ac:dyDescent="0.25">
      <c r="A180" s="16" t="s">
        <v>37</v>
      </c>
      <c r="B180" s="16" t="s">
        <v>100</v>
      </c>
      <c r="C180" s="16" t="s">
        <v>101</v>
      </c>
      <c r="D180" s="16" t="s">
        <v>162</v>
      </c>
      <c r="E180" s="16" t="s">
        <v>163</v>
      </c>
      <c r="F180" s="16" t="s">
        <v>85</v>
      </c>
      <c r="G180" s="16" t="s">
        <v>40</v>
      </c>
      <c r="H180" s="16" t="s">
        <v>142</v>
      </c>
      <c r="I180" s="16" t="s">
        <v>143</v>
      </c>
      <c r="J180" s="15">
        <v>-10984.273999999999</v>
      </c>
      <c r="K180" s="15">
        <v>0</v>
      </c>
      <c r="L180" s="15">
        <v>0</v>
      </c>
      <c r="M180" s="15">
        <f t="shared" si="12"/>
        <v>-10984.273999999999</v>
      </c>
      <c r="N180" s="15">
        <v>-10984.273999999999</v>
      </c>
      <c r="O180" s="15">
        <f t="shared" ref="O180:O210" si="15">N180-P180</f>
        <v>-10984.273999999999</v>
      </c>
      <c r="P180" s="36">
        <v>0</v>
      </c>
      <c r="Q180" s="15">
        <f t="shared" si="13"/>
        <v>-10984.273999999999</v>
      </c>
      <c r="R180" s="36"/>
      <c r="S180" s="15"/>
    </row>
    <row r="181" spans="1:20" x14ac:dyDescent="0.25">
      <c r="A181" s="16" t="s">
        <v>37</v>
      </c>
      <c r="B181" s="16" t="s">
        <v>100</v>
      </c>
      <c r="C181" s="16" t="s">
        <v>101</v>
      </c>
      <c r="D181" s="16" t="s">
        <v>162</v>
      </c>
      <c r="E181" s="16" t="s">
        <v>163</v>
      </c>
      <c r="F181" s="16" t="s">
        <v>85</v>
      </c>
      <c r="G181" s="16" t="s">
        <v>40</v>
      </c>
      <c r="H181" s="16" t="s">
        <v>130</v>
      </c>
      <c r="I181" s="16" t="s">
        <v>131</v>
      </c>
      <c r="J181" s="15">
        <v>-20628.690000071223</v>
      </c>
      <c r="K181" s="15">
        <v>-20628.690000071223</v>
      </c>
      <c r="L181" s="15">
        <v>0</v>
      </c>
      <c r="M181" s="15">
        <f t="shared" si="12"/>
        <v>-20628.690000071223</v>
      </c>
      <c r="N181" s="15">
        <v>-20628.690000071223</v>
      </c>
      <c r="O181" s="15">
        <f t="shared" si="15"/>
        <v>-20628.690000071223</v>
      </c>
      <c r="P181" s="36">
        <v>0</v>
      </c>
      <c r="Q181" s="15">
        <f t="shared" si="13"/>
        <v>-20628.690000071223</v>
      </c>
      <c r="R181" s="36"/>
      <c r="S181" s="15"/>
    </row>
    <row r="182" spans="1:20" x14ac:dyDescent="0.25">
      <c r="A182" s="16" t="s">
        <v>37</v>
      </c>
      <c r="B182" s="16" t="s">
        <v>100</v>
      </c>
      <c r="C182" s="16" t="s">
        <v>101</v>
      </c>
      <c r="D182" s="16" t="s">
        <v>162</v>
      </c>
      <c r="E182" s="16" t="s">
        <v>163</v>
      </c>
      <c r="F182" s="16" t="s">
        <v>85</v>
      </c>
      <c r="G182" s="16" t="s">
        <v>40</v>
      </c>
      <c r="H182" s="16" t="s">
        <v>124</v>
      </c>
      <c r="I182" s="16" t="s">
        <v>125</v>
      </c>
      <c r="J182" s="15">
        <v>-421153.88028749073</v>
      </c>
      <c r="K182" s="15">
        <v>0</v>
      </c>
      <c r="L182" s="15">
        <v>-336593.66642278858</v>
      </c>
      <c r="M182" s="15">
        <f t="shared" si="12"/>
        <v>-84560.213864702149</v>
      </c>
      <c r="N182" s="15">
        <v>0</v>
      </c>
      <c r="O182" s="15">
        <f t="shared" si="15"/>
        <v>0</v>
      </c>
      <c r="P182" s="36">
        <v>0</v>
      </c>
      <c r="Q182" s="15">
        <f t="shared" si="13"/>
        <v>0</v>
      </c>
      <c r="R182" s="36"/>
      <c r="S182" s="15"/>
    </row>
    <row r="183" spans="1:20" x14ac:dyDescent="0.25">
      <c r="A183" s="16" t="s">
        <v>37</v>
      </c>
      <c r="B183" s="16" t="s">
        <v>100</v>
      </c>
      <c r="C183" s="16" t="s">
        <v>101</v>
      </c>
      <c r="D183" s="16" t="s">
        <v>162</v>
      </c>
      <c r="E183" s="16" t="s">
        <v>163</v>
      </c>
      <c r="F183" s="16" t="s">
        <v>85</v>
      </c>
      <c r="G183" s="16" t="s">
        <v>40</v>
      </c>
      <c r="H183" s="16" t="s">
        <v>132</v>
      </c>
      <c r="I183" s="16" t="s">
        <v>133</v>
      </c>
      <c r="J183" s="15">
        <v>-57060.261855057062</v>
      </c>
      <c r="K183" s="15">
        <v>-57060.261855057062</v>
      </c>
      <c r="L183" s="15">
        <v>-57060.2499895937</v>
      </c>
      <c r="M183" s="15">
        <f t="shared" si="12"/>
        <v>-1.1865463362482842E-2</v>
      </c>
      <c r="N183" s="15">
        <v>0</v>
      </c>
      <c r="O183" s="15">
        <f t="shared" si="15"/>
        <v>0</v>
      </c>
      <c r="P183" s="36">
        <v>0</v>
      </c>
      <c r="Q183" s="15">
        <f t="shared" si="13"/>
        <v>0</v>
      </c>
      <c r="R183" s="36"/>
      <c r="S183" s="15"/>
    </row>
    <row r="184" spans="1:20" x14ac:dyDescent="0.25">
      <c r="A184" s="16" t="s">
        <v>37</v>
      </c>
      <c r="B184" s="16" t="s">
        <v>100</v>
      </c>
      <c r="C184" s="16" t="s">
        <v>101</v>
      </c>
      <c r="D184" s="16" t="s">
        <v>162</v>
      </c>
      <c r="E184" s="16" t="s">
        <v>163</v>
      </c>
      <c r="F184" s="16" t="s">
        <v>85</v>
      </c>
      <c r="G184" s="16" t="s">
        <v>40</v>
      </c>
      <c r="H184" s="16" t="s">
        <v>64</v>
      </c>
      <c r="I184" s="16" t="s">
        <v>65</v>
      </c>
      <c r="J184" s="15">
        <v>-116523.80948680615</v>
      </c>
      <c r="K184" s="15">
        <v>0</v>
      </c>
      <c r="L184" s="15">
        <v>-109780.61982604176</v>
      </c>
      <c r="M184" s="15">
        <f t="shared" si="12"/>
        <v>-6743.1896607643866</v>
      </c>
      <c r="N184" s="15">
        <v>-6743.1896607643685</v>
      </c>
      <c r="O184" s="15">
        <f t="shared" si="15"/>
        <v>-6743.1896607643685</v>
      </c>
      <c r="P184" s="36">
        <v>0</v>
      </c>
      <c r="Q184" s="15">
        <f t="shared" si="13"/>
        <v>-6743.1896607643685</v>
      </c>
      <c r="R184" s="36"/>
      <c r="S184" s="15"/>
    </row>
    <row r="185" spans="1:20" x14ac:dyDescent="0.25">
      <c r="A185" s="16" t="s">
        <v>37</v>
      </c>
      <c r="B185" s="16" t="s">
        <v>100</v>
      </c>
      <c r="C185" s="16" t="s">
        <v>101</v>
      </c>
      <c r="D185" s="16" t="s">
        <v>162</v>
      </c>
      <c r="E185" s="16" t="s">
        <v>163</v>
      </c>
      <c r="F185" s="16" t="s">
        <v>85</v>
      </c>
      <c r="G185" s="16" t="s">
        <v>40</v>
      </c>
      <c r="H185" s="16" t="s">
        <v>66</v>
      </c>
      <c r="I185" s="16" t="s">
        <v>63</v>
      </c>
      <c r="J185" s="15">
        <v>-81807.878625381549</v>
      </c>
      <c r="K185" s="15">
        <v>-81807.878625381549</v>
      </c>
      <c r="L185" s="15">
        <v>-81807.899930634274</v>
      </c>
      <c r="M185" s="15">
        <f t="shared" si="12"/>
        <v>2.1305252725142054E-2</v>
      </c>
      <c r="N185" s="15">
        <v>0</v>
      </c>
      <c r="O185" s="15">
        <f t="shared" si="15"/>
        <v>0</v>
      </c>
      <c r="P185" s="36">
        <v>0</v>
      </c>
      <c r="Q185" s="15">
        <f t="shared" si="13"/>
        <v>0</v>
      </c>
      <c r="R185" s="36"/>
      <c r="S185" s="15"/>
    </row>
    <row r="186" spans="1:20" x14ac:dyDescent="0.25">
      <c r="A186" s="16" t="s">
        <v>37</v>
      </c>
      <c r="B186" s="16" t="s">
        <v>100</v>
      </c>
      <c r="C186" s="16" t="s">
        <v>101</v>
      </c>
      <c r="D186" s="16" t="s">
        <v>162</v>
      </c>
      <c r="E186" s="16" t="s">
        <v>163</v>
      </c>
      <c r="F186" s="16" t="s">
        <v>85</v>
      </c>
      <c r="G186" s="16" t="s">
        <v>40</v>
      </c>
      <c r="H186" s="16" t="s">
        <v>67</v>
      </c>
      <c r="I186" s="16" t="s">
        <v>68</v>
      </c>
      <c r="J186" s="15">
        <v>-3970</v>
      </c>
      <c r="K186" s="15">
        <v>0</v>
      </c>
      <c r="L186" s="15">
        <v>0</v>
      </c>
      <c r="M186" s="15">
        <f t="shared" si="12"/>
        <v>-3970</v>
      </c>
      <c r="N186" s="15">
        <v>-3970</v>
      </c>
      <c r="O186" s="15">
        <f t="shared" si="15"/>
        <v>-3970</v>
      </c>
      <c r="P186" s="36">
        <v>0</v>
      </c>
      <c r="Q186" s="15">
        <f t="shared" si="13"/>
        <v>-3970</v>
      </c>
      <c r="R186" s="36"/>
      <c r="S186" s="15"/>
    </row>
    <row r="187" spans="1:20" x14ac:dyDescent="0.25">
      <c r="A187" s="16" t="s">
        <v>37</v>
      </c>
      <c r="B187" s="16" t="s">
        <v>100</v>
      </c>
      <c r="C187" s="16" t="s">
        <v>101</v>
      </c>
      <c r="D187" s="16" t="s">
        <v>162</v>
      </c>
      <c r="E187" s="16" t="s">
        <v>163</v>
      </c>
      <c r="F187" s="16" t="s">
        <v>85</v>
      </c>
      <c r="G187" s="16" t="s">
        <v>40</v>
      </c>
      <c r="H187" s="16" t="s">
        <v>69</v>
      </c>
      <c r="I187" s="16" t="s">
        <v>70</v>
      </c>
      <c r="J187" s="15">
        <v>-11511.535416840212</v>
      </c>
      <c r="K187" s="15">
        <v>-11511.535418365211</v>
      </c>
      <c r="L187" s="15">
        <v>-11328.369272485383</v>
      </c>
      <c r="M187" s="15">
        <f t="shared" si="12"/>
        <v>-183.16614435482916</v>
      </c>
      <c r="N187" s="15">
        <v>0</v>
      </c>
      <c r="O187" s="15">
        <f t="shared" si="15"/>
        <v>0</v>
      </c>
      <c r="P187" s="36">
        <v>0</v>
      </c>
      <c r="Q187" s="15">
        <f t="shared" si="13"/>
        <v>0</v>
      </c>
      <c r="R187" s="36"/>
      <c r="S187" s="15">
        <f>M187</f>
        <v>-183.16614435482916</v>
      </c>
    </row>
    <row r="188" spans="1:20" x14ac:dyDescent="0.25">
      <c r="A188" s="16" t="s">
        <v>37</v>
      </c>
      <c r="B188" s="16" t="s">
        <v>100</v>
      </c>
      <c r="C188" s="16" t="s">
        <v>101</v>
      </c>
      <c r="D188" s="16" t="s">
        <v>162</v>
      </c>
      <c r="E188" s="16" t="s">
        <v>163</v>
      </c>
      <c r="F188" s="16" t="s">
        <v>85</v>
      </c>
      <c r="G188" s="16" t="s">
        <v>40</v>
      </c>
      <c r="H188" s="16" t="s">
        <v>136</v>
      </c>
      <c r="I188" s="16" t="s">
        <v>137</v>
      </c>
      <c r="J188" s="15">
        <v>-49704.600000000028</v>
      </c>
      <c r="K188" s="15">
        <v>0</v>
      </c>
      <c r="L188" s="15">
        <v>-49704.600000000006</v>
      </c>
      <c r="M188" s="15">
        <f t="shared" si="12"/>
        <v>0</v>
      </c>
      <c r="N188" s="15">
        <v>-2.1827872842550278E-11</v>
      </c>
      <c r="O188" s="15">
        <f t="shared" si="15"/>
        <v>-2.1827872842550278E-11</v>
      </c>
      <c r="P188" s="36">
        <v>0</v>
      </c>
      <c r="Q188" s="15">
        <f t="shared" si="13"/>
        <v>-2.1827872842550278E-11</v>
      </c>
      <c r="R188" s="36"/>
      <c r="S188" s="15"/>
    </row>
    <row r="189" spans="1:20" x14ac:dyDescent="0.25">
      <c r="A189" s="16" t="s">
        <v>37</v>
      </c>
      <c r="B189" s="16" t="s">
        <v>100</v>
      </c>
      <c r="C189" s="16" t="s">
        <v>101</v>
      </c>
      <c r="D189" s="16" t="s">
        <v>162</v>
      </c>
      <c r="E189" s="16" t="s">
        <v>163</v>
      </c>
      <c r="F189" s="16" t="s">
        <v>85</v>
      </c>
      <c r="G189" s="16" t="s">
        <v>40</v>
      </c>
      <c r="H189" s="16" t="s">
        <v>138</v>
      </c>
      <c r="I189" s="16" t="s">
        <v>139</v>
      </c>
      <c r="J189" s="15">
        <v>-3568.8244732619619</v>
      </c>
      <c r="K189" s="15">
        <v>0</v>
      </c>
      <c r="L189" s="15">
        <v>-3568.8244732619619</v>
      </c>
      <c r="M189" s="15">
        <f t="shared" si="12"/>
        <v>0</v>
      </c>
      <c r="N189" s="15">
        <v>0</v>
      </c>
      <c r="O189" s="15">
        <f t="shared" si="15"/>
        <v>0</v>
      </c>
      <c r="P189" s="36">
        <v>0</v>
      </c>
      <c r="Q189" s="15">
        <f t="shared" si="13"/>
        <v>0</v>
      </c>
      <c r="R189" s="36"/>
      <c r="S189" s="15"/>
    </row>
    <row r="190" spans="1:20" x14ac:dyDescent="0.25">
      <c r="A190" s="16" t="s">
        <v>37</v>
      </c>
      <c r="B190" s="16" t="s">
        <v>100</v>
      </c>
      <c r="C190" s="16" t="s">
        <v>101</v>
      </c>
      <c r="D190" s="16" t="s">
        <v>164</v>
      </c>
      <c r="E190" s="16" t="s">
        <v>165</v>
      </c>
      <c r="F190" s="16" t="s">
        <v>85</v>
      </c>
      <c r="G190" s="16" t="s">
        <v>40</v>
      </c>
      <c r="H190" s="16" t="s">
        <v>38</v>
      </c>
      <c r="I190" s="16" t="s">
        <v>38</v>
      </c>
      <c r="J190" s="15">
        <v>-3033773.339789622</v>
      </c>
      <c r="K190" s="15">
        <v>-24564.193914192248</v>
      </c>
      <c r="L190" s="15">
        <v>-2629122.8841132401</v>
      </c>
      <c r="M190" s="15">
        <f t="shared" si="12"/>
        <v>-404650.45567638194</v>
      </c>
      <c r="N190" s="15">
        <v>-404650.45567638159</v>
      </c>
      <c r="O190" s="15">
        <f>N190-P190+404650.46</f>
        <v>4.3236184283159673E-3</v>
      </c>
      <c r="P190" s="36">
        <v>0</v>
      </c>
      <c r="Q190" s="15">
        <f t="shared" si="13"/>
        <v>4.3236184283159673E-3</v>
      </c>
      <c r="R190" s="36"/>
      <c r="S190" s="15"/>
    </row>
    <row r="191" spans="1:20" x14ac:dyDescent="0.25">
      <c r="A191" s="16" t="s">
        <v>37</v>
      </c>
      <c r="B191" s="16" t="s">
        <v>100</v>
      </c>
      <c r="C191" s="16" t="s">
        <v>101</v>
      </c>
      <c r="D191" s="16" t="s">
        <v>164</v>
      </c>
      <c r="E191" s="16" t="s">
        <v>165</v>
      </c>
      <c r="F191" s="16" t="s">
        <v>85</v>
      </c>
      <c r="G191" s="16" t="s">
        <v>40</v>
      </c>
      <c r="H191" s="16" t="s">
        <v>166</v>
      </c>
      <c r="I191" s="16" t="s">
        <v>167</v>
      </c>
      <c r="J191" s="15">
        <v>-9666.9999899999966</v>
      </c>
      <c r="K191" s="15">
        <v>-9666.9999899999966</v>
      </c>
      <c r="L191" s="15">
        <v>-9667.0000000000018</v>
      </c>
      <c r="M191" s="15">
        <f t="shared" si="12"/>
        <v>1.0000005204346962E-5</v>
      </c>
      <c r="N191" s="15">
        <v>1.0000003385357559E-5</v>
      </c>
      <c r="O191" s="15">
        <f t="shared" si="15"/>
        <v>1.0000003385357559E-5</v>
      </c>
      <c r="P191" s="36">
        <v>0</v>
      </c>
      <c r="Q191" s="15">
        <f t="shared" si="13"/>
        <v>1.0000003385357559E-5</v>
      </c>
      <c r="R191" s="36"/>
      <c r="S191" s="15"/>
    </row>
    <row r="192" spans="1:20" x14ac:dyDescent="0.25">
      <c r="A192" s="16" t="s">
        <v>37</v>
      </c>
      <c r="B192" s="16" t="s">
        <v>100</v>
      </c>
      <c r="C192" s="16" t="s">
        <v>101</v>
      </c>
      <c r="D192" s="16" t="s">
        <v>164</v>
      </c>
      <c r="E192" s="16" t="s">
        <v>165</v>
      </c>
      <c r="F192" s="16" t="s">
        <v>85</v>
      </c>
      <c r="G192" s="16" t="s">
        <v>40</v>
      </c>
      <c r="H192" s="16" t="s">
        <v>130</v>
      </c>
      <c r="I192" s="16" t="s">
        <v>131</v>
      </c>
      <c r="J192" s="15">
        <v>-505.19028045789292</v>
      </c>
      <c r="K192" s="15">
        <v>-505.19028045789292</v>
      </c>
      <c r="L192" s="15">
        <v>0</v>
      </c>
      <c r="M192" s="15">
        <f t="shared" si="12"/>
        <v>-505.19028045789292</v>
      </c>
      <c r="N192" s="15">
        <v>-505.19028045789292</v>
      </c>
      <c r="O192" s="15">
        <f>N192-P192+505.19</f>
        <v>-2.8045789292718837E-4</v>
      </c>
      <c r="P192" s="36">
        <v>0</v>
      </c>
      <c r="Q192" s="15">
        <f t="shared" si="13"/>
        <v>-2.8045789292718837E-4</v>
      </c>
      <c r="R192" s="36"/>
      <c r="S192" s="15"/>
      <c r="T192" s="36"/>
    </row>
    <row r="193" spans="1:19" x14ac:dyDescent="0.25">
      <c r="A193" s="16" t="s">
        <v>37</v>
      </c>
      <c r="B193" s="16" t="s">
        <v>100</v>
      </c>
      <c r="C193" s="16" t="s">
        <v>101</v>
      </c>
      <c r="D193" s="16" t="s">
        <v>164</v>
      </c>
      <c r="E193" s="16" t="s">
        <v>165</v>
      </c>
      <c r="F193" s="16" t="s">
        <v>85</v>
      </c>
      <c r="G193" s="16" t="s">
        <v>40</v>
      </c>
      <c r="H193" s="16" t="s">
        <v>168</v>
      </c>
      <c r="I193" s="16" t="s">
        <v>169</v>
      </c>
      <c r="J193" s="15">
        <v>-435493.14411798725</v>
      </c>
      <c r="K193" s="15">
        <v>-435493.14411798725</v>
      </c>
      <c r="L193" s="15">
        <v>-435493.17960000003</v>
      </c>
      <c r="M193" s="15">
        <f t="shared" si="12"/>
        <v>3.5482012783177197E-2</v>
      </c>
      <c r="N193" s="15">
        <v>3.5482012666761875E-2</v>
      </c>
      <c r="O193" s="15">
        <v>0</v>
      </c>
      <c r="P193" s="36">
        <v>0</v>
      </c>
      <c r="Q193" s="15">
        <f t="shared" si="13"/>
        <v>0</v>
      </c>
      <c r="R193" s="36"/>
      <c r="S193" s="15"/>
    </row>
    <row r="194" spans="1:19" x14ac:dyDescent="0.25">
      <c r="A194" s="16" t="s">
        <v>37</v>
      </c>
      <c r="B194" s="16" t="s">
        <v>100</v>
      </c>
      <c r="C194" s="16" t="s">
        <v>101</v>
      </c>
      <c r="D194" s="16" t="s">
        <v>164</v>
      </c>
      <c r="E194" s="16" t="s">
        <v>165</v>
      </c>
      <c r="F194" s="16" t="s">
        <v>85</v>
      </c>
      <c r="G194" s="16" t="s">
        <v>40</v>
      </c>
      <c r="H194" s="16" t="s">
        <v>124</v>
      </c>
      <c r="I194" s="16" t="s">
        <v>125</v>
      </c>
      <c r="J194" s="15">
        <v>-255437.50994741032</v>
      </c>
      <c r="K194" s="15">
        <v>0</v>
      </c>
      <c r="L194" s="15">
        <v>-255311.56897567824</v>
      </c>
      <c r="M194" s="15">
        <f t="shared" si="12"/>
        <v>-125.94097173208138</v>
      </c>
      <c r="N194" s="15">
        <v>0</v>
      </c>
      <c r="O194" s="15">
        <f t="shared" si="15"/>
        <v>0</v>
      </c>
      <c r="P194" s="36">
        <v>0</v>
      </c>
      <c r="Q194" s="15">
        <f t="shared" si="13"/>
        <v>0</v>
      </c>
      <c r="R194" s="36"/>
      <c r="S194" s="15"/>
    </row>
    <row r="195" spans="1:19" x14ac:dyDescent="0.25">
      <c r="A195" s="16" t="s">
        <v>37</v>
      </c>
      <c r="B195" s="16" t="s">
        <v>100</v>
      </c>
      <c r="C195" s="16" t="s">
        <v>101</v>
      </c>
      <c r="D195" s="16" t="s">
        <v>164</v>
      </c>
      <c r="E195" s="16" t="s">
        <v>165</v>
      </c>
      <c r="F195" s="16" t="s">
        <v>85</v>
      </c>
      <c r="G195" s="16" t="s">
        <v>40</v>
      </c>
      <c r="H195" s="16" t="s">
        <v>132</v>
      </c>
      <c r="I195" s="16" t="s">
        <v>133</v>
      </c>
      <c r="J195" s="15">
        <v>-47244.091990828034</v>
      </c>
      <c r="K195" s="15">
        <v>-47244.091990828034</v>
      </c>
      <c r="L195" s="15">
        <v>-47244.089991383917</v>
      </c>
      <c r="M195" s="15">
        <f t="shared" si="12"/>
        <v>-1.99944411724573E-3</v>
      </c>
      <c r="N195" s="15">
        <v>0</v>
      </c>
      <c r="O195" s="15">
        <f t="shared" si="15"/>
        <v>0</v>
      </c>
      <c r="P195" s="36">
        <v>0</v>
      </c>
      <c r="Q195" s="15">
        <f t="shared" si="13"/>
        <v>0</v>
      </c>
      <c r="R195" s="36"/>
      <c r="S195" s="15"/>
    </row>
    <row r="196" spans="1:19" x14ac:dyDescent="0.25">
      <c r="A196" s="16" t="s">
        <v>37</v>
      </c>
      <c r="B196" s="16" t="s">
        <v>100</v>
      </c>
      <c r="C196" s="16" t="s">
        <v>101</v>
      </c>
      <c r="D196" s="16" t="s">
        <v>164</v>
      </c>
      <c r="E196" s="16" t="s">
        <v>165</v>
      </c>
      <c r="F196" s="16" t="s">
        <v>85</v>
      </c>
      <c r="G196" s="46" t="s">
        <v>40</v>
      </c>
      <c r="H196" s="16" t="s">
        <v>64</v>
      </c>
      <c r="I196" s="16" t="s">
        <v>65</v>
      </c>
      <c r="J196" s="15">
        <v>-424032.71597970952</v>
      </c>
      <c r="K196" s="15">
        <v>0</v>
      </c>
      <c r="L196" s="15">
        <v>-23232.16996318633</v>
      </c>
      <c r="M196" s="15">
        <f t="shared" si="12"/>
        <v>-400800.54601652321</v>
      </c>
      <c r="N196" s="15">
        <v>-400800.54601652321</v>
      </c>
      <c r="O196" s="15">
        <f>N196-P196+400800.55</f>
        <v>3.9834767812862992E-3</v>
      </c>
      <c r="P196" s="36">
        <v>0</v>
      </c>
      <c r="Q196" s="15">
        <f t="shared" si="13"/>
        <v>3.9834767812862992E-3</v>
      </c>
      <c r="R196" s="36"/>
      <c r="S196" s="15"/>
    </row>
    <row r="197" spans="1:19" x14ac:dyDescent="0.25">
      <c r="A197" s="16" t="s">
        <v>37</v>
      </c>
      <c r="B197" s="16" t="s">
        <v>100</v>
      </c>
      <c r="C197" s="16" t="s">
        <v>101</v>
      </c>
      <c r="D197" s="16" t="s">
        <v>164</v>
      </c>
      <c r="E197" s="16" t="s">
        <v>165</v>
      </c>
      <c r="F197" s="16" t="s">
        <v>85</v>
      </c>
      <c r="G197" s="16" t="s">
        <v>40</v>
      </c>
      <c r="H197" s="16" t="s">
        <v>66</v>
      </c>
      <c r="I197" s="16" t="s">
        <v>63</v>
      </c>
      <c r="J197" s="15">
        <v>-30979.105424211237</v>
      </c>
      <c r="K197" s="15">
        <v>-30979.105424211237</v>
      </c>
      <c r="L197" s="15">
        <v>-30979.099973732518</v>
      </c>
      <c r="M197" s="15">
        <f t="shared" si="12"/>
        <v>-5.4504787185578607E-3</v>
      </c>
      <c r="N197" s="15">
        <v>0</v>
      </c>
      <c r="O197" s="15">
        <f t="shared" si="15"/>
        <v>0</v>
      </c>
      <c r="P197" s="36">
        <v>0</v>
      </c>
      <c r="Q197" s="15">
        <f t="shared" si="13"/>
        <v>0</v>
      </c>
      <c r="R197" s="36"/>
      <c r="S197" s="15"/>
    </row>
    <row r="198" spans="1:19" x14ac:dyDescent="0.25">
      <c r="A198" s="16" t="s">
        <v>37</v>
      </c>
      <c r="B198" s="16" t="s">
        <v>100</v>
      </c>
      <c r="C198" s="16" t="s">
        <v>101</v>
      </c>
      <c r="D198" s="16" t="s">
        <v>164</v>
      </c>
      <c r="E198" s="16" t="s">
        <v>165</v>
      </c>
      <c r="F198" s="16" t="s">
        <v>85</v>
      </c>
      <c r="G198" s="16" t="s">
        <v>40</v>
      </c>
      <c r="H198" s="16" t="s">
        <v>67</v>
      </c>
      <c r="I198" s="16" t="s">
        <v>68</v>
      </c>
      <c r="J198" s="15">
        <v>-3025</v>
      </c>
      <c r="K198" s="15">
        <v>0</v>
      </c>
      <c r="L198" s="15">
        <v>0</v>
      </c>
      <c r="M198" s="15">
        <f t="shared" si="12"/>
        <v>-3025</v>
      </c>
      <c r="N198" s="15">
        <v>-3025</v>
      </c>
      <c r="O198" s="15">
        <f>N198-P198+3025</f>
        <v>0</v>
      </c>
      <c r="P198" s="36">
        <v>0</v>
      </c>
      <c r="Q198" s="15">
        <f t="shared" si="13"/>
        <v>0</v>
      </c>
      <c r="R198" s="36"/>
      <c r="S198" s="15"/>
    </row>
    <row r="199" spans="1:19" x14ac:dyDescent="0.25">
      <c r="A199" s="16" t="s">
        <v>37</v>
      </c>
      <c r="B199" s="16" t="s">
        <v>100</v>
      </c>
      <c r="C199" s="16" t="s">
        <v>101</v>
      </c>
      <c r="D199" s="16" t="s">
        <v>164</v>
      </c>
      <c r="E199" s="16" t="s">
        <v>165</v>
      </c>
      <c r="F199" s="16" t="s">
        <v>85</v>
      </c>
      <c r="G199" s="16" t="s">
        <v>40</v>
      </c>
      <c r="H199" s="16" t="s">
        <v>69</v>
      </c>
      <c r="I199" s="16" t="s">
        <v>70</v>
      </c>
      <c r="J199" s="15">
        <v>-49731.891508651272</v>
      </c>
      <c r="K199" s="15">
        <v>-49731.891508651272</v>
      </c>
      <c r="L199" s="15">
        <v>-49706.376006899787</v>
      </c>
      <c r="M199" s="15">
        <f t="shared" si="12"/>
        <v>-25.515501751484408</v>
      </c>
      <c r="N199" s="15">
        <v>0</v>
      </c>
      <c r="O199" s="15">
        <f t="shared" si="15"/>
        <v>0</v>
      </c>
      <c r="P199" s="36">
        <v>0</v>
      </c>
      <c r="Q199" s="15">
        <f t="shared" si="13"/>
        <v>0</v>
      </c>
      <c r="R199" s="36"/>
      <c r="S199" s="15">
        <f>M199</f>
        <v>-25.515501751484408</v>
      </c>
    </row>
    <row r="200" spans="1:19" x14ac:dyDescent="0.25">
      <c r="A200" s="16" t="s">
        <v>37</v>
      </c>
      <c r="B200" s="16" t="s">
        <v>100</v>
      </c>
      <c r="C200" s="16" t="s">
        <v>101</v>
      </c>
      <c r="D200" s="16" t="s">
        <v>164</v>
      </c>
      <c r="E200" s="16" t="s">
        <v>165</v>
      </c>
      <c r="F200" s="16" t="s">
        <v>85</v>
      </c>
      <c r="G200" s="16" t="s">
        <v>40</v>
      </c>
      <c r="H200" s="16" t="s">
        <v>136</v>
      </c>
      <c r="I200" s="16" t="s">
        <v>137</v>
      </c>
      <c r="J200" s="15">
        <v>-10809.20000000001</v>
      </c>
      <c r="K200" s="15">
        <v>0</v>
      </c>
      <c r="L200" s="15">
        <v>-10809.199999999999</v>
      </c>
      <c r="M200" s="15">
        <f t="shared" si="12"/>
        <v>0</v>
      </c>
      <c r="N200" s="15">
        <v>-1.0146550266654231E-11</v>
      </c>
      <c r="O200" s="15">
        <f t="shared" si="15"/>
        <v>-1.0146550266654231E-11</v>
      </c>
      <c r="P200" s="36">
        <v>0</v>
      </c>
      <c r="Q200" s="15">
        <f t="shared" si="13"/>
        <v>-1.0146550266654231E-11</v>
      </c>
      <c r="R200" s="36"/>
      <c r="S200" s="15"/>
    </row>
    <row r="201" spans="1:19" x14ac:dyDescent="0.25">
      <c r="A201" s="16" t="s">
        <v>37</v>
      </c>
      <c r="B201" s="16" t="s">
        <v>100</v>
      </c>
      <c r="C201" s="16" t="s">
        <v>101</v>
      </c>
      <c r="D201" s="16" t="s">
        <v>170</v>
      </c>
      <c r="E201" s="16" t="s">
        <v>171</v>
      </c>
      <c r="F201" s="16" t="s">
        <v>85</v>
      </c>
      <c r="G201" s="16" t="s">
        <v>40</v>
      </c>
      <c r="H201" s="16" t="s">
        <v>38</v>
      </c>
      <c r="I201" s="16" t="s">
        <v>38</v>
      </c>
      <c r="J201" s="15">
        <v>-4233911.0205330476</v>
      </c>
      <c r="K201" s="15">
        <v>-1430.141678402375</v>
      </c>
      <c r="L201" s="15">
        <v>-4007486.0211047432</v>
      </c>
      <c r="M201" s="15">
        <f t="shared" si="12"/>
        <v>-226424.99942830438</v>
      </c>
      <c r="N201" s="15">
        <v>-226424.99942830449</v>
      </c>
      <c r="O201" s="15">
        <v>0</v>
      </c>
      <c r="P201" s="36">
        <v>0</v>
      </c>
      <c r="Q201" s="15">
        <f t="shared" si="13"/>
        <v>0</v>
      </c>
      <c r="R201" s="36"/>
      <c r="S201" s="15"/>
    </row>
    <row r="202" spans="1:19" x14ac:dyDescent="0.25">
      <c r="A202" s="16" t="s">
        <v>37</v>
      </c>
      <c r="B202" s="16" t="s">
        <v>100</v>
      </c>
      <c r="C202" s="16" t="s">
        <v>101</v>
      </c>
      <c r="D202" s="16" t="s">
        <v>170</v>
      </c>
      <c r="E202" s="16" t="s">
        <v>171</v>
      </c>
      <c r="F202" s="16" t="s">
        <v>85</v>
      </c>
      <c r="G202" s="16" t="s">
        <v>40</v>
      </c>
      <c r="H202" s="16" t="s">
        <v>130</v>
      </c>
      <c r="I202" s="16" t="s">
        <v>131</v>
      </c>
      <c r="J202" s="15">
        <v>-36.429699098622223</v>
      </c>
      <c r="K202" s="15">
        <v>-36.429699098622223</v>
      </c>
      <c r="L202" s="15">
        <v>0</v>
      </c>
      <c r="M202" s="15">
        <f t="shared" si="12"/>
        <v>-36.429699098622223</v>
      </c>
      <c r="N202" s="15">
        <v>-36.429699098622223</v>
      </c>
      <c r="O202" s="15">
        <f>N202-P202+36.43</f>
        <v>3.0090137777705195E-4</v>
      </c>
      <c r="P202" s="36">
        <v>0</v>
      </c>
      <c r="Q202" s="15">
        <f t="shared" si="13"/>
        <v>3.0090137777705195E-4</v>
      </c>
      <c r="R202" s="36"/>
      <c r="S202" s="15"/>
    </row>
    <row r="203" spans="1:19" x14ac:dyDescent="0.25">
      <c r="A203" s="16" t="s">
        <v>37</v>
      </c>
      <c r="B203" s="16" t="s">
        <v>100</v>
      </c>
      <c r="C203" s="16" t="s">
        <v>101</v>
      </c>
      <c r="D203" s="16" t="s">
        <v>170</v>
      </c>
      <c r="E203" s="16" t="s">
        <v>171</v>
      </c>
      <c r="F203" s="16" t="s">
        <v>85</v>
      </c>
      <c r="G203" s="16" t="s">
        <v>40</v>
      </c>
      <c r="H203" s="16" t="s">
        <v>172</v>
      </c>
      <c r="I203" s="16" t="s">
        <v>173</v>
      </c>
      <c r="J203" s="15">
        <v>-1922.8599899998808</v>
      </c>
      <c r="K203" s="15">
        <v>-1922.8599899998808</v>
      </c>
      <c r="L203" s="15">
        <v>-1922.86</v>
      </c>
      <c r="M203" s="15">
        <f t="shared" si="12"/>
        <v>1.0000119118558359E-5</v>
      </c>
      <c r="N203" s="15">
        <v>1.0000105248764157E-5</v>
      </c>
      <c r="O203" s="15">
        <f t="shared" si="15"/>
        <v>1.0000105248764157E-5</v>
      </c>
      <c r="P203" s="36">
        <v>0</v>
      </c>
      <c r="Q203" s="15">
        <f t="shared" si="13"/>
        <v>1.0000105248764157E-5</v>
      </c>
      <c r="R203" s="36"/>
      <c r="S203" s="15"/>
    </row>
    <row r="204" spans="1:19" x14ac:dyDescent="0.25">
      <c r="A204" s="16" t="s">
        <v>37</v>
      </c>
      <c r="B204" s="16" t="s">
        <v>100</v>
      </c>
      <c r="C204" s="16" t="s">
        <v>101</v>
      </c>
      <c r="D204" s="16" t="s">
        <v>170</v>
      </c>
      <c r="E204" s="16" t="s">
        <v>171</v>
      </c>
      <c r="F204" s="16" t="s">
        <v>85</v>
      </c>
      <c r="G204" s="16" t="s">
        <v>40</v>
      </c>
      <c r="H204" s="16" t="s">
        <v>124</v>
      </c>
      <c r="I204" s="16" t="s">
        <v>125</v>
      </c>
      <c r="J204" s="15">
        <v>-385586.86944020516</v>
      </c>
      <c r="K204" s="15">
        <v>0</v>
      </c>
      <c r="L204" s="15">
        <v>-385424.86092032178</v>
      </c>
      <c r="M204" s="15">
        <f t="shared" ref="M204:M267" si="16">J204-L204</f>
        <v>-162.008519883384</v>
      </c>
      <c r="N204" s="15">
        <v>0</v>
      </c>
      <c r="O204" s="15">
        <f t="shared" si="15"/>
        <v>0</v>
      </c>
      <c r="P204" s="36">
        <v>0</v>
      </c>
      <c r="Q204" s="15">
        <f t="shared" ref="Q204:Q267" si="17">O204+P204</f>
        <v>0</v>
      </c>
      <c r="R204" s="36"/>
      <c r="S204" s="15"/>
    </row>
    <row r="205" spans="1:19" x14ac:dyDescent="0.25">
      <c r="A205" s="16" t="s">
        <v>37</v>
      </c>
      <c r="B205" s="16" t="s">
        <v>100</v>
      </c>
      <c r="C205" s="16" t="s">
        <v>101</v>
      </c>
      <c r="D205" s="16" t="s">
        <v>170</v>
      </c>
      <c r="E205" s="16" t="s">
        <v>171</v>
      </c>
      <c r="F205" s="16" t="s">
        <v>85</v>
      </c>
      <c r="G205" s="16" t="s">
        <v>40</v>
      </c>
      <c r="H205" s="16" t="s">
        <v>132</v>
      </c>
      <c r="I205" s="16" t="s">
        <v>133</v>
      </c>
      <c r="J205" s="15">
        <v>-93924.265407784958</v>
      </c>
      <c r="K205" s="15">
        <v>-93924.265407784958</v>
      </c>
      <c r="L205" s="15">
        <v>-93924.259982870659</v>
      </c>
      <c r="M205" s="15">
        <f t="shared" si="16"/>
        <v>-5.4249142995104194E-3</v>
      </c>
      <c r="N205" s="15">
        <v>0</v>
      </c>
      <c r="O205" s="15">
        <f t="shared" si="15"/>
        <v>0</v>
      </c>
      <c r="P205" s="36">
        <v>0</v>
      </c>
      <c r="Q205" s="15">
        <f t="shared" si="17"/>
        <v>0</v>
      </c>
      <c r="R205" s="36"/>
      <c r="S205" s="15"/>
    </row>
    <row r="206" spans="1:19" x14ac:dyDescent="0.25">
      <c r="A206" s="16" t="s">
        <v>37</v>
      </c>
      <c r="B206" s="16" t="s">
        <v>100</v>
      </c>
      <c r="C206" s="16" t="s">
        <v>101</v>
      </c>
      <c r="D206" s="16" t="s">
        <v>170</v>
      </c>
      <c r="E206" s="16" t="s">
        <v>171</v>
      </c>
      <c r="F206" s="16" t="s">
        <v>85</v>
      </c>
      <c r="G206" s="16" t="s">
        <v>40</v>
      </c>
      <c r="H206" s="16" t="s">
        <v>64</v>
      </c>
      <c r="I206" s="16" t="s">
        <v>65</v>
      </c>
      <c r="J206" s="15">
        <v>-635348.79196819058</v>
      </c>
      <c r="K206" s="15">
        <v>0</v>
      </c>
      <c r="L206" s="15">
        <v>-632848.78899718856</v>
      </c>
      <c r="M206" s="15">
        <f t="shared" si="16"/>
        <v>-2500.0029710020171</v>
      </c>
      <c r="N206" s="15">
        <v>-2500.0029710020317</v>
      </c>
      <c r="O206" s="15">
        <f>N206-P206+2500</f>
        <v>-2.9710020316997543E-3</v>
      </c>
      <c r="P206" s="36">
        <v>0</v>
      </c>
      <c r="Q206" s="15">
        <f t="shared" si="17"/>
        <v>-2.9710020316997543E-3</v>
      </c>
      <c r="R206" s="36"/>
      <c r="S206" s="15">
        <f>M205</f>
        <v>-5.4249142995104194E-3</v>
      </c>
    </row>
    <row r="207" spans="1:19" x14ac:dyDescent="0.25">
      <c r="A207" s="16" t="s">
        <v>37</v>
      </c>
      <c r="B207" s="16" t="s">
        <v>100</v>
      </c>
      <c r="C207" s="16" t="s">
        <v>101</v>
      </c>
      <c r="D207" s="16" t="s">
        <v>170</v>
      </c>
      <c r="E207" s="16" t="s">
        <v>171</v>
      </c>
      <c r="F207" s="16" t="s">
        <v>85</v>
      </c>
      <c r="G207" s="16" t="s">
        <v>40</v>
      </c>
      <c r="H207" s="16" t="s">
        <v>66</v>
      </c>
      <c r="I207" s="16" t="s">
        <v>63</v>
      </c>
      <c r="J207" s="15">
        <v>-6543.8191307614534</v>
      </c>
      <c r="K207" s="15">
        <v>-6543.8191307614534</v>
      </c>
      <c r="L207" s="15">
        <v>-6543.8099944514379</v>
      </c>
      <c r="M207" s="15">
        <f t="shared" si="16"/>
        <v>-9.1363100154921995E-3</v>
      </c>
      <c r="N207" s="15">
        <v>0</v>
      </c>
      <c r="O207" s="15">
        <f t="shared" si="15"/>
        <v>0</v>
      </c>
      <c r="P207" s="36">
        <v>0</v>
      </c>
      <c r="Q207" s="15">
        <f t="shared" si="17"/>
        <v>0</v>
      </c>
      <c r="R207" s="36"/>
      <c r="S207" s="15"/>
    </row>
    <row r="208" spans="1:19" x14ac:dyDescent="0.25">
      <c r="A208" s="16" t="s">
        <v>37</v>
      </c>
      <c r="B208" s="16" t="s">
        <v>100</v>
      </c>
      <c r="C208" s="16" t="s">
        <v>101</v>
      </c>
      <c r="D208" s="16" t="s">
        <v>170</v>
      </c>
      <c r="E208" s="16" t="s">
        <v>171</v>
      </c>
      <c r="F208" s="16" t="s">
        <v>85</v>
      </c>
      <c r="G208" s="16" t="s">
        <v>40</v>
      </c>
      <c r="H208" s="16" t="s">
        <v>67</v>
      </c>
      <c r="I208" s="16" t="s">
        <v>68</v>
      </c>
      <c r="J208" s="15">
        <v>-6830.0098999999864</v>
      </c>
      <c r="K208" s="15">
        <v>0</v>
      </c>
      <c r="L208" s="15">
        <v>-6830.0099999999993</v>
      </c>
      <c r="M208" s="15">
        <f t="shared" si="16"/>
        <v>1.0000001293519745E-4</v>
      </c>
      <c r="N208" s="15">
        <v>0</v>
      </c>
      <c r="O208" s="15">
        <f t="shared" si="15"/>
        <v>0</v>
      </c>
      <c r="P208" s="36">
        <v>0</v>
      </c>
      <c r="Q208" s="15">
        <f t="shared" si="17"/>
        <v>0</v>
      </c>
      <c r="R208" s="36"/>
      <c r="S208" s="15"/>
    </row>
    <row r="209" spans="1:19" x14ac:dyDescent="0.25">
      <c r="A209" s="16" t="s">
        <v>37</v>
      </c>
      <c r="B209" s="16" t="s">
        <v>100</v>
      </c>
      <c r="C209" s="16" t="s">
        <v>101</v>
      </c>
      <c r="D209" s="16" t="s">
        <v>170</v>
      </c>
      <c r="E209" s="16" t="s">
        <v>171</v>
      </c>
      <c r="F209" s="16" t="s">
        <v>85</v>
      </c>
      <c r="G209" s="16" t="s">
        <v>40</v>
      </c>
      <c r="H209" s="16" t="s">
        <v>69</v>
      </c>
      <c r="I209" s="16" t="s">
        <v>70</v>
      </c>
      <c r="J209" s="15">
        <v>-85949.056882409292</v>
      </c>
      <c r="K209" s="15">
        <v>-85949.056882409292</v>
      </c>
      <c r="L209" s="15">
        <v>-85949.059847486191</v>
      </c>
      <c r="M209" s="15">
        <f t="shared" si="16"/>
        <v>2.9650768992723897E-3</v>
      </c>
      <c r="N209" s="15">
        <v>0</v>
      </c>
      <c r="O209" s="15">
        <f t="shared" si="15"/>
        <v>0</v>
      </c>
      <c r="P209" s="36">
        <v>0</v>
      </c>
      <c r="Q209" s="15">
        <f t="shared" si="17"/>
        <v>0</v>
      </c>
      <c r="R209" s="36"/>
      <c r="S209" s="15"/>
    </row>
    <row r="210" spans="1:19" x14ac:dyDescent="0.25">
      <c r="A210" s="16" t="s">
        <v>37</v>
      </c>
      <c r="B210" s="16" t="s">
        <v>100</v>
      </c>
      <c r="C210" s="16" t="s">
        <v>101</v>
      </c>
      <c r="D210" s="16" t="s">
        <v>170</v>
      </c>
      <c r="E210" s="16" t="s">
        <v>171</v>
      </c>
      <c r="F210" s="16" t="s">
        <v>85</v>
      </c>
      <c r="G210" s="16" t="s">
        <v>40</v>
      </c>
      <c r="H210" s="16" t="s">
        <v>174</v>
      </c>
      <c r="I210" s="16" t="s">
        <v>175</v>
      </c>
      <c r="J210" s="15">
        <v>0</v>
      </c>
      <c r="K210" s="15">
        <v>0</v>
      </c>
      <c r="L210" s="15">
        <v>16.940200000000001</v>
      </c>
      <c r="M210" s="15">
        <f t="shared" si="16"/>
        <v>-16.940200000000001</v>
      </c>
      <c r="N210" s="15">
        <v>0</v>
      </c>
      <c r="O210" s="15">
        <f t="shared" si="15"/>
        <v>0</v>
      </c>
      <c r="P210" s="36">
        <v>0</v>
      </c>
      <c r="Q210" s="15">
        <f t="shared" si="17"/>
        <v>0</v>
      </c>
      <c r="R210" s="36"/>
      <c r="S210" s="15"/>
    </row>
    <row r="211" spans="1:19" x14ac:dyDescent="0.25">
      <c r="A211" s="16" t="s">
        <v>37</v>
      </c>
      <c r="B211" s="16" t="s">
        <v>100</v>
      </c>
      <c r="C211" s="16" t="s">
        <v>101</v>
      </c>
      <c r="D211" s="16" t="s">
        <v>176</v>
      </c>
      <c r="E211" s="16" t="s">
        <v>177</v>
      </c>
      <c r="F211" s="16" t="s">
        <v>85</v>
      </c>
      <c r="G211" s="16" t="s">
        <v>40</v>
      </c>
      <c r="H211" s="16" t="s">
        <v>38</v>
      </c>
      <c r="I211" s="16" t="s">
        <v>38</v>
      </c>
      <c r="J211" s="15">
        <v>-3092770.9565150258</v>
      </c>
      <c r="K211" s="15">
        <v>-47854.041935657769</v>
      </c>
      <c r="L211" s="15">
        <v>-2892016.2211591518</v>
      </c>
      <c r="M211" s="15">
        <f t="shared" si="16"/>
        <v>-200754.73535587406</v>
      </c>
      <c r="N211" s="15">
        <f>-200754.735932778</f>
        <v>-200754.73593277801</v>
      </c>
      <c r="O211" s="15">
        <f>N211-P211+67557</f>
        <v>-133197.73593277801</v>
      </c>
      <c r="P211" s="36">
        <v>0</v>
      </c>
      <c r="Q211" s="15">
        <f t="shared" si="17"/>
        <v>-133197.73593277801</v>
      </c>
      <c r="R211" s="36"/>
      <c r="S211" s="15"/>
    </row>
    <row r="212" spans="1:19" x14ac:dyDescent="0.25">
      <c r="A212" s="16" t="s">
        <v>37</v>
      </c>
      <c r="B212" s="16" t="s">
        <v>100</v>
      </c>
      <c r="C212" s="16" t="s">
        <v>101</v>
      </c>
      <c r="D212" s="16" t="s">
        <v>176</v>
      </c>
      <c r="E212" s="16" t="s">
        <v>177</v>
      </c>
      <c r="F212" s="16" t="s">
        <v>85</v>
      </c>
      <c r="G212" s="16" t="s">
        <v>40</v>
      </c>
      <c r="H212" s="16" t="s">
        <v>130</v>
      </c>
      <c r="I212" s="16" t="s">
        <v>131</v>
      </c>
      <c r="J212" s="15">
        <v>-5517.7300000190507</v>
      </c>
      <c r="K212" s="15">
        <v>-5517.7300000190507</v>
      </c>
      <c r="L212" s="15">
        <v>0</v>
      </c>
      <c r="M212" s="15">
        <f t="shared" si="16"/>
        <v>-5517.7300000190507</v>
      </c>
      <c r="N212" s="15">
        <v>-5517.7300000190507</v>
      </c>
      <c r="O212" s="15">
        <f t="shared" ref="O212:O238" si="18">N212-P212</f>
        <v>-5517.7300000190507</v>
      </c>
      <c r="P212" s="36">
        <v>0</v>
      </c>
      <c r="Q212" s="15">
        <f t="shared" si="17"/>
        <v>-5517.7300000190507</v>
      </c>
      <c r="R212" s="36"/>
      <c r="S212" s="15"/>
    </row>
    <row r="213" spans="1:19" x14ac:dyDescent="0.25">
      <c r="A213" s="16" t="s">
        <v>37</v>
      </c>
      <c r="B213" s="16" t="s">
        <v>100</v>
      </c>
      <c r="C213" s="16" t="s">
        <v>101</v>
      </c>
      <c r="D213" s="16" t="s">
        <v>176</v>
      </c>
      <c r="E213" s="16" t="s">
        <v>177</v>
      </c>
      <c r="F213" s="16" t="s">
        <v>85</v>
      </c>
      <c r="G213" s="16" t="s">
        <v>40</v>
      </c>
      <c r="H213" s="16" t="s">
        <v>124</v>
      </c>
      <c r="I213" s="16" t="s">
        <v>125</v>
      </c>
      <c r="J213" s="15">
        <v>-392770.88458214758</v>
      </c>
      <c r="K213" s="15">
        <v>0</v>
      </c>
      <c r="L213" s="15">
        <v>-342934.91268839687</v>
      </c>
      <c r="M213" s="15">
        <f t="shared" si="16"/>
        <v>-49835.971893750713</v>
      </c>
      <c r="N213" s="15">
        <v>0</v>
      </c>
      <c r="O213" s="15">
        <f t="shared" si="18"/>
        <v>0</v>
      </c>
      <c r="P213" s="36">
        <v>0</v>
      </c>
      <c r="Q213" s="15">
        <f t="shared" si="17"/>
        <v>0</v>
      </c>
      <c r="R213" s="36"/>
      <c r="S213" s="15"/>
    </row>
    <row r="214" spans="1:19" x14ac:dyDescent="0.25">
      <c r="A214" s="16" t="s">
        <v>37</v>
      </c>
      <c r="B214" s="16" t="s">
        <v>100</v>
      </c>
      <c r="C214" s="16" t="s">
        <v>101</v>
      </c>
      <c r="D214" s="16" t="s">
        <v>176</v>
      </c>
      <c r="E214" s="16" t="s">
        <v>177</v>
      </c>
      <c r="F214" s="16" t="s">
        <v>85</v>
      </c>
      <c r="G214" s="16" t="s">
        <v>40</v>
      </c>
      <c r="H214" s="16" t="s">
        <v>132</v>
      </c>
      <c r="I214" s="16" t="s">
        <v>133</v>
      </c>
      <c r="J214" s="15">
        <v>-36395.066031445327</v>
      </c>
      <c r="K214" s="15">
        <v>-36395.066031445327</v>
      </c>
      <c r="L214" s="15">
        <v>-36395.069993362493</v>
      </c>
      <c r="M214" s="15">
        <f t="shared" si="16"/>
        <v>3.9619171657250263E-3</v>
      </c>
      <c r="N214" s="15">
        <v>0</v>
      </c>
      <c r="O214" s="15">
        <f t="shared" si="18"/>
        <v>0</v>
      </c>
      <c r="P214" s="36">
        <v>0</v>
      </c>
      <c r="Q214" s="15">
        <f t="shared" si="17"/>
        <v>0</v>
      </c>
      <c r="R214" s="36"/>
      <c r="S214" s="15"/>
    </row>
    <row r="215" spans="1:19" x14ac:dyDescent="0.25">
      <c r="A215" s="16" t="s">
        <v>37</v>
      </c>
      <c r="B215" s="16" t="s">
        <v>100</v>
      </c>
      <c r="C215" s="16" t="s">
        <v>101</v>
      </c>
      <c r="D215" s="16" t="s">
        <v>176</v>
      </c>
      <c r="E215" s="16" t="s">
        <v>177</v>
      </c>
      <c r="F215" s="16" t="s">
        <v>85</v>
      </c>
      <c r="G215" s="16" t="s">
        <v>40</v>
      </c>
      <c r="H215" s="16" t="s">
        <v>64</v>
      </c>
      <c r="I215" s="16" t="s">
        <v>65</v>
      </c>
      <c r="J215" s="15">
        <v>-136873.13888778552</v>
      </c>
      <c r="K215" s="15">
        <v>0</v>
      </c>
      <c r="L215" s="15">
        <v>-134873.13978628017</v>
      </c>
      <c r="M215" s="15">
        <f t="shared" si="16"/>
        <v>-1999.9991015053529</v>
      </c>
      <c r="N215" s="15">
        <v>-1999.999101505322</v>
      </c>
      <c r="O215" s="15">
        <f t="shared" si="18"/>
        <v>-1999.999101505322</v>
      </c>
      <c r="P215" s="36">
        <v>0</v>
      </c>
      <c r="Q215" s="15">
        <f t="shared" si="17"/>
        <v>-1999.999101505322</v>
      </c>
      <c r="R215" s="36"/>
      <c r="S215" s="15"/>
    </row>
    <row r="216" spans="1:19" x14ac:dyDescent="0.25">
      <c r="A216" s="16" t="s">
        <v>37</v>
      </c>
      <c r="B216" s="16" t="s">
        <v>100</v>
      </c>
      <c r="C216" s="16" t="s">
        <v>101</v>
      </c>
      <c r="D216" s="16" t="s">
        <v>176</v>
      </c>
      <c r="E216" s="16" t="s">
        <v>177</v>
      </c>
      <c r="F216" s="16" t="s">
        <v>85</v>
      </c>
      <c r="G216" s="16" t="s">
        <v>40</v>
      </c>
      <c r="H216" s="16" t="s">
        <v>66</v>
      </c>
      <c r="I216" s="16" t="s">
        <v>63</v>
      </c>
      <c r="J216" s="15">
        <v>-86255.197282754845</v>
      </c>
      <c r="K216" s="15">
        <v>-86255.197282754845</v>
      </c>
      <c r="L216" s="15">
        <v>-86255.199926863366</v>
      </c>
      <c r="M216" s="15">
        <f t="shared" si="16"/>
        <v>2.6441085210535675E-3</v>
      </c>
      <c r="N216" s="15">
        <v>0</v>
      </c>
      <c r="O216" s="15">
        <f t="shared" si="18"/>
        <v>0</v>
      </c>
      <c r="P216" s="36">
        <v>0</v>
      </c>
      <c r="Q216" s="15">
        <f t="shared" si="17"/>
        <v>0</v>
      </c>
      <c r="R216" s="36"/>
      <c r="S216" s="15"/>
    </row>
    <row r="217" spans="1:19" x14ac:dyDescent="0.25">
      <c r="A217" s="16" t="s">
        <v>37</v>
      </c>
      <c r="B217" s="16" t="s">
        <v>100</v>
      </c>
      <c r="C217" s="16" t="s">
        <v>101</v>
      </c>
      <c r="D217" s="16" t="s">
        <v>176</v>
      </c>
      <c r="E217" s="16" t="s">
        <v>177</v>
      </c>
      <c r="F217" s="16" t="s">
        <v>85</v>
      </c>
      <c r="G217" s="16" t="s">
        <v>40</v>
      </c>
      <c r="H217" s="16" t="s">
        <v>67</v>
      </c>
      <c r="I217" s="16" t="s">
        <v>68</v>
      </c>
      <c r="J217" s="15">
        <v>-34679.999999999993</v>
      </c>
      <c r="K217" s="15">
        <v>0</v>
      </c>
      <c r="L217" s="15">
        <v>0</v>
      </c>
      <c r="M217" s="15">
        <f t="shared" si="16"/>
        <v>-34679.999999999993</v>
      </c>
      <c r="N217" s="15">
        <v>-34679.999999999993</v>
      </c>
      <c r="O217" s="15">
        <f t="shared" si="18"/>
        <v>-34679.999999999993</v>
      </c>
      <c r="P217" s="36">
        <v>0</v>
      </c>
      <c r="Q217" s="15">
        <f t="shared" si="17"/>
        <v>-34679.999999999993</v>
      </c>
      <c r="R217" s="36"/>
      <c r="S217" s="15"/>
    </row>
    <row r="218" spans="1:19" x14ac:dyDescent="0.25">
      <c r="A218" s="16" t="s">
        <v>37</v>
      </c>
      <c r="B218" s="16" t="s">
        <v>100</v>
      </c>
      <c r="C218" s="16" t="s">
        <v>101</v>
      </c>
      <c r="D218" s="16" t="s">
        <v>176</v>
      </c>
      <c r="E218" s="16" t="s">
        <v>177</v>
      </c>
      <c r="F218" s="16" t="s">
        <v>85</v>
      </c>
      <c r="G218" s="16" t="s">
        <v>40</v>
      </c>
      <c r="H218" s="16" t="s">
        <v>69</v>
      </c>
      <c r="I218" s="16" t="s">
        <v>70</v>
      </c>
      <c r="J218" s="15">
        <v>-19211.961677397332</v>
      </c>
      <c r="K218" s="15">
        <v>-19211.961680901331</v>
      </c>
      <c r="L218" s="15">
        <v>-17715.266394990005</v>
      </c>
      <c r="M218" s="15">
        <f t="shared" si="16"/>
        <v>-1496.6952824073269</v>
      </c>
      <c r="N218" s="15">
        <v>0</v>
      </c>
      <c r="O218" s="15">
        <f t="shared" si="18"/>
        <v>0</v>
      </c>
      <c r="P218" s="36">
        <v>0</v>
      </c>
      <c r="Q218" s="15">
        <f t="shared" si="17"/>
        <v>0</v>
      </c>
      <c r="R218" s="36"/>
      <c r="S218" s="15">
        <f>M218</f>
        <v>-1496.6952824073269</v>
      </c>
    </row>
    <row r="219" spans="1:19" x14ac:dyDescent="0.25">
      <c r="A219" s="16" t="s">
        <v>37</v>
      </c>
      <c r="B219" s="16" t="s">
        <v>100</v>
      </c>
      <c r="C219" s="16" t="s">
        <v>101</v>
      </c>
      <c r="D219" s="16" t="s">
        <v>178</v>
      </c>
      <c r="E219" s="16" t="s">
        <v>179</v>
      </c>
      <c r="F219" s="16" t="s">
        <v>85</v>
      </c>
      <c r="G219" s="16" t="s">
        <v>40</v>
      </c>
      <c r="H219" s="16" t="s">
        <v>38</v>
      </c>
      <c r="I219" s="16" t="s">
        <v>38</v>
      </c>
      <c r="J219" s="15">
        <v>-8059150.6045223894</v>
      </c>
      <c r="K219" s="15">
        <v>-618106.97187053727</v>
      </c>
      <c r="L219" s="15">
        <v>-5803020.0343497721</v>
      </c>
      <c r="M219" s="15">
        <f t="shared" si="16"/>
        <v>-2256130.5701726172</v>
      </c>
      <c r="N219" s="15">
        <v>-2256130.5701726163</v>
      </c>
      <c r="O219" s="15">
        <f>N219-P219-514000.62</f>
        <v>-2770131.1901726164</v>
      </c>
      <c r="P219" s="36">
        <v>0</v>
      </c>
      <c r="Q219" s="15">
        <f t="shared" si="17"/>
        <v>-2770131.1901726164</v>
      </c>
      <c r="R219" s="36"/>
      <c r="S219" s="15"/>
    </row>
    <row r="220" spans="1:19" x14ac:dyDescent="0.25">
      <c r="A220" s="16" t="s">
        <v>37</v>
      </c>
      <c r="B220" s="16" t="s">
        <v>100</v>
      </c>
      <c r="C220" s="16" t="s">
        <v>101</v>
      </c>
      <c r="D220" s="16" t="s">
        <v>178</v>
      </c>
      <c r="E220" s="16" t="s">
        <v>179</v>
      </c>
      <c r="F220" s="16" t="s">
        <v>85</v>
      </c>
      <c r="G220" s="16" t="s">
        <v>40</v>
      </c>
      <c r="H220" s="16" t="s">
        <v>142</v>
      </c>
      <c r="I220" s="16" t="s">
        <v>143</v>
      </c>
      <c r="J220" s="15">
        <v>-22574.776000000002</v>
      </c>
      <c r="K220" s="15">
        <v>0</v>
      </c>
      <c r="L220" s="15">
        <v>0</v>
      </c>
      <c r="M220" s="15">
        <f t="shared" si="16"/>
        <v>-22574.776000000002</v>
      </c>
      <c r="N220" s="15">
        <v>-22574.776000000002</v>
      </c>
      <c r="O220" s="15">
        <f t="shared" si="18"/>
        <v>-22574.776000000002</v>
      </c>
      <c r="P220" s="36">
        <v>0</v>
      </c>
      <c r="Q220" s="15">
        <f t="shared" si="17"/>
        <v>-22574.776000000002</v>
      </c>
      <c r="R220" s="36"/>
      <c r="S220" s="15"/>
    </row>
    <row r="221" spans="1:19" x14ac:dyDescent="0.25">
      <c r="A221" s="16" t="s">
        <v>37</v>
      </c>
      <c r="B221" s="16" t="s">
        <v>100</v>
      </c>
      <c r="C221" s="16" t="s">
        <v>101</v>
      </c>
      <c r="D221" s="16" t="s">
        <v>178</v>
      </c>
      <c r="E221" s="16" t="s">
        <v>179</v>
      </c>
      <c r="F221" s="16" t="s">
        <v>85</v>
      </c>
      <c r="G221" s="16" t="s">
        <v>40</v>
      </c>
      <c r="H221" s="16" t="s">
        <v>130</v>
      </c>
      <c r="I221" s="16" t="s">
        <v>131</v>
      </c>
      <c r="J221" s="15">
        <v>-8977.2300000309951</v>
      </c>
      <c r="K221" s="15">
        <v>-8977.2300000309951</v>
      </c>
      <c r="L221" s="15">
        <v>0</v>
      </c>
      <c r="M221" s="15">
        <f t="shared" si="16"/>
        <v>-8977.2300000309951</v>
      </c>
      <c r="N221" s="15">
        <v>-8977.2300000309951</v>
      </c>
      <c r="O221" s="15">
        <f t="shared" si="18"/>
        <v>-8977.2300000309951</v>
      </c>
      <c r="P221" s="36">
        <v>0</v>
      </c>
      <c r="Q221" s="15">
        <f t="shared" si="17"/>
        <v>-8977.2300000309951</v>
      </c>
      <c r="R221" s="36"/>
      <c r="S221" s="15"/>
    </row>
    <row r="222" spans="1:19" x14ac:dyDescent="0.25">
      <c r="A222" s="16" t="s">
        <v>37</v>
      </c>
      <c r="B222" s="16" t="s">
        <v>100</v>
      </c>
      <c r="C222" s="16" t="s">
        <v>101</v>
      </c>
      <c r="D222" s="16" t="s">
        <v>178</v>
      </c>
      <c r="E222" s="16" t="s">
        <v>179</v>
      </c>
      <c r="F222" s="16" t="s">
        <v>85</v>
      </c>
      <c r="G222" s="16" t="s">
        <v>40</v>
      </c>
      <c r="H222" s="16" t="s">
        <v>124</v>
      </c>
      <c r="I222" s="16" t="s">
        <v>125</v>
      </c>
      <c r="J222" s="15">
        <v>-393086.98506649735</v>
      </c>
      <c r="K222" s="15">
        <v>0</v>
      </c>
      <c r="L222" s="15">
        <v>-347104.98462395131</v>
      </c>
      <c r="M222" s="15">
        <f t="shared" si="16"/>
        <v>-45982.000442546036</v>
      </c>
      <c r="N222" s="15">
        <v>0</v>
      </c>
      <c r="O222" s="15">
        <f t="shared" si="18"/>
        <v>0</v>
      </c>
      <c r="P222" s="36">
        <v>0</v>
      </c>
      <c r="Q222" s="15">
        <f t="shared" si="17"/>
        <v>0</v>
      </c>
      <c r="R222" s="36"/>
      <c r="S222" s="15"/>
    </row>
    <row r="223" spans="1:19" x14ac:dyDescent="0.25">
      <c r="A223" s="16" t="s">
        <v>37</v>
      </c>
      <c r="B223" s="16" t="s">
        <v>100</v>
      </c>
      <c r="C223" s="16" t="s">
        <v>101</v>
      </c>
      <c r="D223" s="16" t="s">
        <v>178</v>
      </c>
      <c r="E223" s="16" t="s">
        <v>179</v>
      </c>
      <c r="F223" s="16" t="s">
        <v>85</v>
      </c>
      <c r="G223" s="16" t="s">
        <v>40</v>
      </c>
      <c r="H223" s="16" t="s">
        <v>132</v>
      </c>
      <c r="I223" s="16" t="s">
        <v>133</v>
      </c>
      <c r="J223" s="15">
        <v>-34394.586355428575</v>
      </c>
      <c r="K223" s="15">
        <v>-34394.586355428575</v>
      </c>
      <c r="L223" s="15">
        <v>-34394.579993727326</v>
      </c>
      <c r="M223" s="15">
        <f t="shared" si="16"/>
        <v>-6.3617012492613867E-3</v>
      </c>
      <c r="N223" s="15">
        <v>0</v>
      </c>
      <c r="O223" s="15">
        <f t="shared" si="18"/>
        <v>0</v>
      </c>
      <c r="P223" s="36">
        <v>0</v>
      </c>
      <c r="Q223" s="15">
        <f t="shared" si="17"/>
        <v>0</v>
      </c>
      <c r="R223" s="36"/>
      <c r="S223" s="15"/>
    </row>
    <row r="224" spans="1:19" x14ac:dyDescent="0.25">
      <c r="A224" s="16" t="s">
        <v>37</v>
      </c>
      <c r="B224" s="16" t="s">
        <v>100</v>
      </c>
      <c r="C224" s="16" t="s">
        <v>101</v>
      </c>
      <c r="D224" s="16" t="s">
        <v>178</v>
      </c>
      <c r="E224" s="16" t="s">
        <v>179</v>
      </c>
      <c r="F224" s="16" t="s">
        <v>85</v>
      </c>
      <c r="G224" s="16" t="s">
        <v>40</v>
      </c>
      <c r="H224" s="16" t="s">
        <v>64</v>
      </c>
      <c r="I224" s="16" t="s">
        <v>65</v>
      </c>
      <c r="J224" s="15">
        <v>-110422.11529656441</v>
      </c>
      <c r="K224" s="15">
        <v>0</v>
      </c>
      <c r="L224" s="15">
        <v>-105922.11983215594</v>
      </c>
      <c r="M224" s="15">
        <f t="shared" si="16"/>
        <v>-4499.9954644084792</v>
      </c>
      <c r="N224" s="15">
        <v>-4499.9954644084864</v>
      </c>
      <c r="O224" s="15">
        <f t="shared" si="18"/>
        <v>-4499.9954644084864</v>
      </c>
      <c r="P224" s="36">
        <v>0</v>
      </c>
      <c r="Q224" s="15">
        <f t="shared" si="17"/>
        <v>-4499.9954644084864</v>
      </c>
      <c r="R224" s="36"/>
      <c r="S224" s="15"/>
    </row>
    <row r="225" spans="1:19" x14ac:dyDescent="0.25">
      <c r="A225" s="16" t="s">
        <v>37</v>
      </c>
      <c r="B225" s="16" t="s">
        <v>100</v>
      </c>
      <c r="C225" s="16" t="s">
        <v>101</v>
      </c>
      <c r="D225" s="16" t="s">
        <v>178</v>
      </c>
      <c r="E225" s="16" t="s">
        <v>179</v>
      </c>
      <c r="F225" s="16" t="s">
        <v>85</v>
      </c>
      <c r="G225" s="16" t="s">
        <v>40</v>
      </c>
      <c r="H225" s="16" t="s">
        <v>66</v>
      </c>
      <c r="I225" s="16" t="s">
        <v>63</v>
      </c>
      <c r="J225" s="15">
        <v>-118635.98061687261</v>
      </c>
      <c r="K225" s="15">
        <v>-118635.98061687261</v>
      </c>
      <c r="L225" s="15">
        <v>-118635.98989940737</v>
      </c>
      <c r="M225" s="15">
        <f t="shared" si="16"/>
        <v>9.2825347674079239E-3</v>
      </c>
      <c r="N225" s="15">
        <v>0</v>
      </c>
      <c r="O225" s="15">
        <f t="shared" si="18"/>
        <v>0</v>
      </c>
      <c r="P225" s="36">
        <v>0</v>
      </c>
      <c r="Q225" s="15">
        <f t="shared" si="17"/>
        <v>0</v>
      </c>
      <c r="R225" s="36"/>
      <c r="S225" s="15"/>
    </row>
    <row r="226" spans="1:19" x14ac:dyDescent="0.25">
      <c r="A226" s="16" t="s">
        <v>37</v>
      </c>
      <c r="B226" s="16" t="s">
        <v>100</v>
      </c>
      <c r="C226" s="16" t="s">
        <v>101</v>
      </c>
      <c r="D226" s="16" t="s">
        <v>178</v>
      </c>
      <c r="E226" s="16" t="s">
        <v>179</v>
      </c>
      <c r="F226" s="16" t="s">
        <v>85</v>
      </c>
      <c r="G226" s="16" t="s">
        <v>40</v>
      </c>
      <c r="H226" s="16" t="s">
        <v>67</v>
      </c>
      <c r="I226" s="16" t="s">
        <v>68</v>
      </c>
      <c r="J226" s="15">
        <v>-25000</v>
      </c>
      <c r="K226" s="15">
        <v>0</v>
      </c>
      <c r="L226" s="15">
        <v>0</v>
      </c>
      <c r="M226" s="15">
        <f t="shared" si="16"/>
        <v>-25000</v>
      </c>
      <c r="N226" s="15">
        <v>-25000</v>
      </c>
      <c r="O226" s="15">
        <f t="shared" si="18"/>
        <v>-25000</v>
      </c>
      <c r="P226" s="36">
        <v>0</v>
      </c>
      <c r="Q226" s="15">
        <f t="shared" si="17"/>
        <v>-25000</v>
      </c>
      <c r="R226" s="36"/>
      <c r="S226" s="15"/>
    </row>
    <row r="227" spans="1:19" x14ac:dyDescent="0.25">
      <c r="A227" s="16" t="s">
        <v>37</v>
      </c>
      <c r="B227" s="16" t="s">
        <v>100</v>
      </c>
      <c r="C227" s="16" t="s">
        <v>101</v>
      </c>
      <c r="D227" s="16" t="s">
        <v>178</v>
      </c>
      <c r="E227" s="16" t="s">
        <v>179</v>
      </c>
      <c r="F227" s="16" t="s">
        <v>85</v>
      </c>
      <c r="G227" s="16" t="s">
        <v>40</v>
      </c>
      <c r="H227" s="16" t="s">
        <v>69</v>
      </c>
      <c r="I227" s="16" t="s">
        <v>70</v>
      </c>
      <c r="J227" s="15">
        <v>-9846.2354340076818</v>
      </c>
      <c r="K227" s="15">
        <v>-9846.2354349546822</v>
      </c>
      <c r="L227" s="15">
        <v>-10911.643096710719</v>
      </c>
      <c r="M227" s="15">
        <f t="shared" si="16"/>
        <v>1065.4076627030372</v>
      </c>
      <c r="N227" s="15">
        <v>0</v>
      </c>
      <c r="O227" s="15">
        <f t="shared" si="18"/>
        <v>0</v>
      </c>
      <c r="P227" s="36">
        <v>0</v>
      </c>
      <c r="Q227" s="15">
        <f t="shared" si="17"/>
        <v>0</v>
      </c>
      <c r="R227" s="36"/>
      <c r="S227" s="15">
        <f>M227</f>
        <v>1065.4076627030372</v>
      </c>
    </row>
    <row r="228" spans="1:19" x14ac:dyDescent="0.25">
      <c r="A228" s="16" t="s">
        <v>37</v>
      </c>
      <c r="B228" s="16" t="s">
        <v>100</v>
      </c>
      <c r="C228" s="16" t="s">
        <v>101</v>
      </c>
      <c r="D228" s="16" t="s">
        <v>178</v>
      </c>
      <c r="E228" s="16" t="s">
        <v>179</v>
      </c>
      <c r="F228" s="16" t="s">
        <v>85</v>
      </c>
      <c r="G228" s="16" t="s">
        <v>40</v>
      </c>
      <c r="H228" s="16" t="s">
        <v>136</v>
      </c>
      <c r="I228" s="16" t="s">
        <v>137</v>
      </c>
      <c r="J228" s="15">
        <v>-30212.60000000002</v>
      </c>
      <c r="K228" s="15">
        <v>0</v>
      </c>
      <c r="L228" s="15">
        <v>-30212.6</v>
      </c>
      <c r="M228" s="15">
        <f t="shared" si="16"/>
        <v>0</v>
      </c>
      <c r="N228" s="15">
        <v>-2.3646862246096134E-11</v>
      </c>
      <c r="O228" s="15">
        <f t="shared" si="18"/>
        <v>-2.3646862246096134E-11</v>
      </c>
      <c r="P228" s="36">
        <v>0</v>
      </c>
      <c r="Q228" s="15">
        <f t="shared" si="17"/>
        <v>-2.3646862246096134E-11</v>
      </c>
      <c r="R228" s="36"/>
      <c r="S228" s="15"/>
    </row>
    <row r="229" spans="1:19" x14ac:dyDescent="0.25">
      <c r="A229" s="16" t="s">
        <v>37</v>
      </c>
      <c r="B229" s="16" t="s">
        <v>100</v>
      </c>
      <c r="C229" s="16" t="s">
        <v>101</v>
      </c>
      <c r="D229" s="16" t="s">
        <v>178</v>
      </c>
      <c r="E229" s="16" t="s">
        <v>179</v>
      </c>
      <c r="F229" s="16" t="s">
        <v>85</v>
      </c>
      <c r="G229" s="16" t="s">
        <v>40</v>
      </c>
      <c r="H229" s="16" t="s">
        <v>138</v>
      </c>
      <c r="I229" s="16" t="s">
        <v>139</v>
      </c>
      <c r="J229" s="15">
        <v>-594.4288081647685</v>
      </c>
      <c r="K229" s="15">
        <v>0</v>
      </c>
      <c r="L229" s="15">
        <v>-594.4288081647685</v>
      </c>
      <c r="M229" s="15">
        <f t="shared" si="16"/>
        <v>0</v>
      </c>
      <c r="N229" s="15">
        <v>0</v>
      </c>
      <c r="O229" s="15">
        <f t="shared" si="18"/>
        <v>0</v>
      </c>
      <c r="P229" s="36">
        <v>0</v>
      </c>
      <c r="Q229" s="15">
        <f t="shared" si="17"/>
        <v>0</v>
      </c>
      <c r="R229" s="36"/>
      <c r="S229" s="15"/>
    </row>
    <row r="230" spans="1:19" x14ac:dyDescent="0.25">
      <c r="A230" s="16" t="s">
        <v>37</v>
      </c>
      <c r="B230" s="16" t="s">
        <v>180</v>
      </c>
      <c r="C230" s="16" t="s">
        <v>181</v>
      </c>
      <c r="D230" s="16" t="s">
        <v>182</v>
      </c>
      <c r="E230" s="16" t="s">
        <v>183</v>
      </c>
      <c r="F230" s="16" t="s">
        <v>85</v>
      </c>
      <c r="G230" s="16" t="s">
        <v>40</v>
      </c>
      <c r="H230" s="16" t="s">
        <v>38</v>
      </c>
      <c r="I230" s="16" t="s">
        <v>38</v>
      </c>
      <c r="J230" s="15">
        <v>-5055937.7418101132</v>
      </c>
      <c r="K230" s="15">
        <v>-788187.00497622706</v>
      </c>
      <c r="L230" s="15">
        <v>-4205210.8252078202</v>
      </c>
      <c r="M230" s="15">
        <f t="shared" si="16"/>
        <v>-850726.91660229303</v>
      </c>
      <c r="N230" s="15">
        <v>-850726.91660229443</v>
      </c>
      <c r="O230" s="15">
        <f t="shared" si="18"/>
        <v>-850726.91660229443</v>
      </c>
      <c r="P230" s="36">
        <v>0</v>
      </c>
      <c r="Q230" s="15">
        <f t="shared" si="17"/>
        <v>-850726.91660229443</v>
      </c>
      <c r="R230" s="36"/>
      <c r="S230" s="15"/>
    </row>
    <row r="231" spans="1:19" x14ac:dyDescent="0.25">
      <c r="A231" s="16" t="s">
        <v>37</v>
      </c>
      <c r="B231" s="16" t="s">
        <v>180</v>
      </c>
      <c r="C231" s="16" t="s">
        <v>181</v>
      </c>
      <c r="D231" s="16" t="s">
        <v>182</v>
      </c>
      <c r="E231" s="16" t="s">
        <v>183</v>
      </c>
      <c r="F231" s="16" t="s">
        <v>85</v>
      </c>
      <c r="G231" s="16" t="s">
        <v>40</v>
      </c>
      <c r="H231" s="16" t="s">
        <v>142</v>
      </c>
      <c r="I231" s="16" t="s">
        <v>143</v>
      </c>
      <c r="J231" s="15">
        <v>-7361.34</v>
      </c>
      <c r="K231" s="15">
        <v>0</v>
      </c>
      <c r="L231" s="15">
        <v>0</v>
      </c>
      <c r="M231" s="15">
        <f t="shared" si="16"/>
        <v>-7361.34</v>
      </c>
      <c r="N231" s="15">
        <v>-7361.34</v>
      </c>
      <c r="O231" s="15">
        <f t="shared" si="18"/>
        <v>-7361.34</v>
      </c>
      <c r="P231" s="36">
        <v>0</v>
      </c>
      <c r="Q231" s="15">
        <f t="shared" si="17"/>
        <v>-7361.34</v>
      </c>
      <c r="R231" s="36"/>
      <c r="S231" s="15"/>
    </row>
    <row r="232" spans="1:19" x14ac:dyDescent="0.25">
      <c r="A232" s="16" t="s">
        <v>37</v>
      </c>
      <c r="B232" s="16" t="s">
        <v>180</v>
      </c>
      <c r="C232" s="16" t="s">
        <v>181</v>
      </c>
      <c r="D232" s="16" t="s">
        <v>182</v>
      </c>
      <c r="E232" s="16" t="s">
        <v>183</v>
      </c>
      <c r="F232" s="16" t="s">
        <v>85</v>
      </c>
      <c r="G232" s="16" t="s">
        <v>40</v>
      </c>
      <c r="H232" s="16" t="s">
        <v>124</v>
      </c>
      <c r="I232" s="16" t="s">
        <v>125</v>
      </c>
      <c r="J232" s="15">
        <v>-487476.59289280925</v>
      </c>
      <c r="K232" s="15">
        <v>0</v>
      </c>
      <c r="L232" s="15">
        <v>-421079.63745104359</v>
      </c>
      <c r="M232" s="15">
        <f t="shared" si="16"/>
        <v>-66396.955441765662</v>
      </c>
      <c r="N232" s="15">
        <v>0</v>
      </c>
      <c r="O232" s="15">
        <f t="shared" si="18"/>
        <v>0</v>
      </c>
      <c r="P232" s="36">
        <v>0</v>
      </c>
      <c r="Q232" s="15">
        <f t="shared" si="17"/>
        <v>0</v>
      </c>
      <c r="R232" s="36"/>
      <c r="S232" s="15"/>
    </row>
    <row r="233" spans="1:19" x14ac:dyDescent="0.25">
      <c r="A233" s="16" t="s">
        <v>37</v>
      </c>
      <c r="B233" s="16" t="s">
        <v>180</v>
      </c>
      <c r="C233" s="16" t="s">
        <v>181</v>
      </c>
      <c r="D233" s="16" t="s">
        <v>182</v>
      </c>
      <c r="E233" s="16" t="s">
        <v>183</v>
      </c>
      <c r="F233" s="16" t="s">
        <v>85</v>
      </c>
      <c r="G233" s="16" t="s">
        <v>40</v>
      </c>
      <c r="H233" s="16" t="s">
        <v>132</v>
      </c>
      <c r="I233" s="16" t="s">
        <v>133</v>
      </c>
      <c r="J233" s="15">
        <v>-36835.881062103232</v>
      </c>
      <c r="K233" s="15">
        <v>-36835.881062103232</v>
      </c>
      <c r="L233" s="15">
        <v>-36835.909993282097</v>
      </c>
      <c r="M233" s="15">
        <f t="shared" si="16"/>
        <v>2.8931178865605034E-2</v>
      </c>
      <c r="N233" s="15">
        <v>0</v>
      </c>
      <c r="O233" s="15">
        <f t="shared" si="18"/>
        <v>0</v>
      </c>
      <c r="P233" s="36">
        <v>0</v>
      </c>
      <c r="Q233" s="15">
        <f t="shared" si="17"/>
        <v>0</v>
      </c>
      <c r="R233" s="36"/>
      <c r="S233" s="15"/>
    </row>
    <row r="234" spans="1:19" x14ac:dyDescent="0.25">
      <c r="A234" s="16" t="s">
        <v>37</v>
      </c>
      <c r="B234" s="16" t="s">
        <v>180</v>
      </c>
      <c r="C234" s="16" t="s">
        <v>181</v>
      </c>
      <c r="D234" s="16" t="s">
        <v>182</v>
      </c>
      <c r="E234" s="16" t="s">
        <v>183</v>
      </c>
      <c r="F234" s="16" t="s">
        <v>85</v>
      </c>
      <c r="G234" s="16" t="s">
        <v>40</v>
      </c>
      <c r="H234" s="16" t="s">
        <v>64</v>
      </c>
      <c r="I234" s="16" t="s">
        <v>65</v>
      </c>
      <c r="J234" s="15">
        <v>-41659.999780171362</v>
      </c>
      <c r="K234" s="15">
        <v>0</v>
      </c>
      <c r="L234" s="15">
        <v>-36578.659942037499</v>
      </c>
      <c r="M234" s="15">
        <f t="shared" si="16"/>
        <v>-5081.3398381338629</v>
      </c>
      <c r="N234" s="15">
        <v>-5081.339838133872</v>
      </c>
      <c r="O234" s="15">
        <f t="shared" si="18"/>
        <v>-5081.339838133872</v>
      </c>
      <c r="P234" s="36">
        <v>0</v>
      </c>
      <c r="Q234" s="15">
        <f t="shared" si="17"/>
        <v>-5081.339838133872</v>
      </c>
      <c r="R234" s="36"/>
      <c r="S234" s="15"/>
    </row>
    <row r="235" spans="1:19" x14ac:dyDescent="0.25">
      <c r="A235" s="16" t="s">
        <v>37</v>
      </c>
      <c r="B235" s="16" t="s">
        <v>180</v>
      </c>
      <c r="C235" s="16" t="s">
        <v>181</v>
      </c>
      <c r="D235" s="16" t="s">
        <v>182</v>
      </c>
      <c r="E235" s="16" t="s">
        <v>183</v>
      </c>
      <c r="F235" s="16" t="s">
        <v>85</v>
      </c>
      <c r="G235" s="16" t="s">
        <v>40</v>
      </c>
      <c r="H235" s="16" t="s">
        <v>66</v>
      </c>
      <c r="I235" s="16" t="s">
        <v>63</v>
      </c>
      <c r="J235" s="15">
        <v>-18473.652144104759</v>
      </c>
      <c r="K235" s="15">
        <v>-18473.652144104759</v>
      </c>
      <c r="L235" s="15">
        <v>-18473.629984336028</v>
      </c>
      <c r="M235" s="15">
        <f t="shared" si="16"/>
        <v>-2.2159768730489304E-2</v>
      </c>
      <c r="N235" s="15">
        <v>0</v>
      </c>
      <c r="O235" s="15">
        <f t="shared" si="18"/>
        <v>0</v>
      </c>
      <c r="P235" s="36">
        <v>0</v>
      </c>
      <c r="Q235" s="15">
        <f t="shared" si="17"/>
        <v>0</v>
      </c>
      <c r="R235" s="36"/>
      <c r="S235" s="15"/>
    </row>
    <row r="236" spans="1:19" x14ac:dyDescent="0.25">
      <c r="A236" s="16" t="s">
        <v>37</v>
      </c>
      <c r="B236" s="16" t="s">
        <v>180</v>
      </c>
      <c r="C236" s="16" t="s">
        <v>181</v>
      </c>
      <c r="D236" s="16" t="s">
        <v>182</v>
      </c>
      <c r="E236" s="16" t="s">
        <v>183</v>
      </c>
      <c r="F236" s="16" t="s">
        <v>85</v>
      </c>
      <c r="G236" s="16" t="s">
        <v>40</v>
      </c>
      <c r="H236" s="16" t="s">
        <v>67</v>
      </c>
      <c r="I236" s="16" t="s">
        <v>68</v>
      </c>
      <c r="J236" s="15">
        <v>-2980</v>
      </c>
      <c r="K236" s="15">
        <v>0</v>
      </c>
      <c r="L236" s="15">
        <v>0</v>
      </c>
      <c r="M236" s="15">
        <f t="shared" si="16"/>
        <v>-2980</v>
      </c>
      <c r="N236" s="15">
        <v>-2980</v>
      </c>
      <c r="O236" s="15">
        <f t="shared" si="18"/>
        <v>-2980</v>
      </c>
      <c r="P236" s="36">
        <v>0</v>
      </c>
      <c r="Q236" s="15">
        <f t="shared" si="17"/>
        <v>-2980</v>
      </c>
      <c r="R236" s="36"/>
      <c r="S236" s="15"/>
    </row>
    <row r="237" spans="1:19" x14ac:dyDescent="0.25">
      <c r="A237" s="16" t="s">
        <v>37</v>
      </c>
      <c r="B237" s="16" t="s">
        <v>184</v>
      </c>
      <c r="C237" s="16" t="s">
        <v>185</v>
      </c>
      <c r="D237" s="16" t="s">
        <v>186</v>
      </c>
      <c r="E237" s="16" t="s">
        <v>187</v>
      </c>
      <c r="F237" s="16" t="s">
        <v>85</v>
      </c>
      <c r="G237" s="16" t="s">
        <v>40</v>
      </c>
      <c r="H237" s="16" t="s">
        <v>38</v>
      </c>
      <c r="I237" s="16" t="s">
        <v>38</v>
      </c>
      <c r="J237" s="15">
        <v>-1154928.0337278771</v>
      </c>
      <c r="K237" s="15">
        <v>-47041</v>
      </c>
      <c r="L237" s="15">
        <v>-1118571.8065353134</v>
      </c>
      <c r="M237" s="15">
        <f t="shared" si="16"/>
        <v>-36356.227192563703</v>
      </c>
      <c r="N237" s="15">
        <v>-36356.227192563485</v>
      </c>
      <c r="O237" s="15">
        <f t="shared" si="18"/>
        <v>-36356.227192563485</v>
      </c>
      <c r="P237" s="36">
        <v>0</v>
      </c>
      <c r="Q237" s="15">
        <f t="shared" si="17"/>
        <v>-36356.227192563485</v>
      </c>
      <c r="R237" s="36"/>
      <c r="S237" s="15"/>
    </row>
    <row r="238" spans="1:19" x14ac:dyDescent="0.25">
      <c r="A238" s="16" t="s">
        <v>37</v>
      </c>
      <c r="B238" s="16" t="s">
        <v>184</v>
      </c>
      <c r="C238" s="16" t="s">
        <v>185</v>
      </c>
      <c r="D238" s="16" t="s">
        <v>186</v>
      </c>
      <c r="E238" s="16" t="s">
        <v>187</v>
      </c>
      <c r="F238" s="16" t="s">
        <v>85</v>
      </c>
      <c r="G238" s="16" t="s">
        <v>40</v>
      </c>
      <c r="H238" s="16" t="s">
        <v>62</v>
      </c>
      <c r="I238" s="16" t="s">
        <v>63</v>
      </c>
      <c r="J238" s="15">
        <v>-6723.99</v>
      </c>
      <c r="K238" s="15">
        <v>-6723.99</v>
      </c>
      <c r="L238" s="15">
        <v>-6723.9899909000005</v>
      </c>
      <c r="M238" s="15">
        <f t="shared" si="16"/>
        <v>-9.099999260797631E-6</v>
      </c>
      <c r="N238" s="15">
        <v>0</v>
      </c>
      <c r="O238" s="15">
        <f t="shared" si="18"/>
        <v>0</v>
      </c>
      <c r="P238" s="36">
        <v>0</v>
      </c>
      <c r="Q238" s="15">
        <f t="shared" si="17"/>
        <v>0</v>
      </c>
      <c r="R238" s="36"/>
      <c r="S238" s="15"/>
    </row>
    <row r="239" spans="1:19" x14ac:dyDescent="0.25">
      <c r="A239" s="16" t="s">
        <v>37</v>
      </c>
      <c r="B239" s="16" t="s">
        <v>184</v>
      </c>
      <c r="C239" s="16" t="s">
        <v>185</v>
      </c>
      <c r="D239" s="16" t="s">
        <v>188</v>
      </c>
      <c r="E239" s="16" t="s">
        <v>189</v>
      </c>
      <c r="F239" s="16" t="s">
        <v>85</v>
      </c>
      <c r="G239" s="16" t="s">
        <v>40</v>
      </c>
      <c r="H239" s="16" t="s">
        <v>38</v>
      </c>
      <c r="I239" s="16" t="s">
        <v>38</v>
      </c>
      <c r="J239" s="15">
        <v>-782109.37731567002</v>
      </c>
      <c r="K239" s="15">
        <v>-142364.8799</v>
      </c>
      <c r="L239" s="15">
        <v>-230358.50314113614</v>
      </c>
      <c r="M239" s="15">
        <f t="shared" si="16"/>
        <v>-551750.87417453388</v>
      </c>
      <c r="N239" s="15">
        <v>-551750.87417453399</v>
      </c>
      <c r="O239" s="15">
        <f>N239-P239+N252+N253+N254</f>
        <v>-789762.08882696123</v>
      </c>
      <c r="P239" s="36">
        <v>0</v>
      </c>
      <c r="Q239" s="15">
        <f t="shared" si="17"/>
        <v>-789762.08882696123</v>
      </c>
      <c r="R239" s="36"/>
      <c r="S239" s="15"/>
    </row>
    <row r="240" spans="1:19" x14ac:dyDescent="0.25">
      <c r="A240" s="16" t="s">
        <v>37</v>
      </c>
      <c r="B240" s="16" t="s">
        <v>184</v>
      </c>
      <c r="C240" s="16" t="s">
        <v>185</v>
      </c>
      <c r="D240" s="16" t="s">
        <v>188</v>
      </c>
      <c r="E240" s="16" t="s">
        <v>189</v>
      </c>
      <c r="F240" s="16" t="s">
        <v>85</v>
      </c>
      <c r="G240" s="16" t="s">
        <v>40</v>
      </c>
      <c r="H240" s="16" t="s">
        <v>62</v>
      </c>
      <c r="I240" s="16" t="s">
        <v>63</v>
      </c>
      <c r="J240" s="15">
        <v>-7691.9489999999987</v>
      </c>
      <c r="K240" s="15">
        <v>-7691.9489999999987</v>
      </c>
      <c r="L240" s="15">
        <v>-7691.9499895899971</v>
      </c>
      <c r="M240" s="15">
        <f t="shared" si="16"/>
        <v>9.8958999842579942E-4</v>
      </c>
      <c r="N240" s="15">
        <v>0</v>
      </c>
      <c r="O240" s="15">
        <f t="shared" ref="O240:O247" si="19">N240-P240</f>
        <v>0</v>
      </c>
      <c r="P240" s="36">
        <v>0</v>
      </c>
      <c r="Q240" s="15">
        <f t="shared" si="17"/>
        <v>0</v>
      </c>
      <c r="R240" s="36"/>
      <c r="S240" s="15"/>
    </row>
    <row r="241" spans="1:19" x14ac:dyDescent="0.25">
      <c r="A241" s="16" t="s">
        <v>37</v>
      </c>
      <c r="B241" s="16" t="s">
        <v>184</v>
      </c>
      <c r="C241" s="16" t="s">
        <v>185</v>
      </c>
      <c r="D241" s="16" t="s">
        <v>190</v>
      </c>
      <c r="E241" s="16" t="s">
        <v>191</v>
      </c>
      <c r="F241" s="16" t="s">
        <v>85</v>
      </c>
      <c r="G241" s="16" t="s">
        <v>40</v>
      </c>
      <c r="H241" s="16" t="s">
        <v>38</v>
      </c>
      <c r="I241" s="16" t="s">
        <v>38</v>
      </c>
      <c r="J241" s="15">
        <v>-1895751.1036490554</v>
      </c>
      <c r="K241" s="15">
        <v>-709198</v>
      </c>
      <c r="L241" s="15">
        <v>-743506.87870768178</v>
      </c>
      <c r="M241" s="15">
        <f t="shared" si="16"/>
        <v>-1152244.2249413736</v>
      </c>
      <c r="N241" s="15">
        <v>-1152244.2249413738</v>
      </c>
      <c r="O241" s="15">
        <f t="shared" si="19"/>
        <v>-1152244.2249413738</v>
      </c>
      <c r="P241" s="36">
        <v>0</v>
      </c>
      <c r="Q241" s="15">
        <f t="shared" si="17"/>
        <v>-1152244.2249413738</v>
      </c>
      <c r="R241" s="36"/>
      <c r="S241" s="15"/>
    </row>
    <row r="242" spans="1:19" x14ac:dyDescent="0.25">
      <c r="A242" s="16" t="s">
        <v>37</v>
      </c>
      <c r="B242" s="16" t="s">
        <v>184</v>
      </c>
      <c r="C242" s="16" t="s">
        <v>185</v>
      </c>
      <c r="D242" s="16" t="s">
        <v>190</v>
      </c>
      <c r="E242" s="16" t="s">
        <v>191</v>
      </c>
      <c r="F242" s="16" t="s">
        <v>85</v>
      </c>
      <c r="G242" s="16" t="s">
        <v>40</v>
      </c>
      <c r="H242" s="16" t="s">
        <v>192</v>
      </c>
      <c r="I242" s="16" t="s">
        <v>193</v>
      </c>
      <c r="J242" s="15">
        <v>-1607237</v>
      </c>
      <c r="K242" s="15">
        <v>-1607237</v>
      </c>
      <c r="L242" s="15">
        <v>879670.23009999993</v>
      </c>
      <c r="M242" s="15">
        <f t="shared" si="16"/>
        <v>-2486907.2300999998</v>
      </c>
      <c r="N242" s="15">
        <v>0</v>
      </c>
      <c r="O242" s="15">
        <f t="shared" si="19"/>
        <v>0</v>
      </c>
      <c r="P242" s="36">
        <v>0</v>
      </c>
      <c r="Q242" s="15">
        <f t="shared" si="17"/>
        <v>0</v>
      </c>
      <c r="R242" s="36"/>
      <c r="S242" s="15"/>
    </row>
    <row r="243" spans="1:19" x14ac:dyDescent="0.25">
      <c r="A243" s="16" t="s">
        <v>37</v>
      </c>
      <c r="B243" s="16" t="s">
        <v>184</v>
      </c>
      <c r="C243" s="16" t="s">
        <v>185</v>
      </c>
      <c r="D243" s="16" t="s">
        <v>190</v>
      </c>
      <c r="E243" s="16" t="s">
        <v>191</v>
      </c>
      <c r="F243" s="16" t="s">
        <v>85</v>
      </c>
      <c r="G243" s="16" t="s">
        <v>40</v>
      </c>
      <c r="H243" s="16" t="s">
        <v>194</v>
      </c>
      <c r="I243" s="16" t="s">
        <v>195</v>
      </c>
      <c r="J243" s="15">
        <v>-10549909</v>
      </c>
      <c r="K243" s="15">
        <v>-10191909</v>
      </c>
      <c r="L243" s="15">
        <v>-8691420.9600000009</v>
      </c>
      <c r="M243" s="15">
        <f t="shared" si="16"/>
        <v>-1858488.0399999991</v>
      </c>
      <c r="N243" s="15">
        <v>-358000</v>
      </c>
      <c r="O243" s="15">
        <f t="shared" si="19"/>
        <v>-358000</v>
      </c>
      <c r="P243" s="36">
        <v>0</v>
      </c>
      <c r="Q243" s="15">
        <f t="shared" si="17"/>
        <v>-358000</v>
      </c>
      <c r="R243" s="36"/>
      <c r="S243" s="15"/>
    </row>
    <row r="244" spans="1:19" x14ac:dyDescent="0.25">
      <c r="A244" s="16" t="s">
        <v>37</v>
      </c>
      <c r="B244" s="16" t="s">
        <v>184</v>
      </c>
      <c r="C244" s="16" t="s">
        <v>185</v>
      </c>
      <c r="D244" s="16" t="s">
        <v>190</v>
      </c>
      <c r="E244" s="16" t="s">
        <v>191</v>
      </c>
      <c r="F244" s="16" t="s">
        <v>85</v>
      </c>
      <c r="G244" s="16" t="s">
        <v>40</v>
      </c>
      <c r="H244" s="16" t="s">
        <v>196</v>
      </c>
      <c r="I244" s="16" t="s">
        <v>197</v>
      </c>
      <c r="J244" s="15">
        <v>-5000000</v>
      </c>
      <c r="K244" s="15">
        <v>0</v>
      </c>
      <c r="L244" s="15">
        <v>0</v>
      </c>
      <c r="M244" s="15">
        <f t="shared" si="16"/>
        <v>-5000000</v>
      </c>
      <c r="N244" s="15">
        <v>-5000000</v>
      </c>
      <c r="O244" s="15">
        <f t="shared" si="19"/>
        <v>-5000000</v>
      </c>
      <c r="P244" s="36">
        <v>0</v>
      </c>
      <c r="Q244" s="15">
        <f t="shared" si="17"/>
        <v>-5000000</v>
      </c>
      <c r="R244" s="36"/>
      <c r="S244" s="15"/>
    </row>
    <row r="245" spans="1:19" x14ac:dyDescent="0.25">
      <c r="A245" s="16" t="s">
        <v>37</v>
      </c>
      <c r="B245" s="16" t="s">
        <v>184</v>
      </c>
      <c r="C245" s="16" t="s">
        <v>185</v>
      </c>
      <c r="D245" s="16" t="s">
        <v>190</v>
      </c>
      <c r="E245" s="16" t="s">
        <v>191</v>
      </c>
      <c r="F245" s="16" t="s">
        <v>85</v>
      </c>
      <c r="G245" s="16" t="s">
        <v>40</v>
      </c>
      <c r="H245" s="16" t="s">
        <v>198</v>
      </c>
      <c r="I245" s="16" t="s">
        <v>199</v>
      </c>
      <c r="J245" s="15">
        <v>-3290721</v>
      </c>
      <c r="K245" s="15">
        <v>-250721</v>
      </c>
      <c r="L245" s="15">
        <v>-1351800.8</v>
      </c>
      <c r="M245" s="15">
        <f t="shared" si="16"/>
        <v>-1938920.2</v>
      </c>
      <c r="N245" s="15">
        <v>-1938920.2</v>
      </c>
      <c r="O245" s="15">
        <f t="shared" si="19"/>
        <v>-1938920.2</v>
      </c>
      <c r="P245" s="36">
        <v>0</v>
      </c>
      <c r="Q245" s="15">
        <f t="shared" si="17"/>
        <v>-1938920.2</v>
      </c>
      <c r="R245" s="36"/>
      <c r="S245" s="15"/>
    </row>
    <row r="246" spans="1:19" x14ac:dyDescent="0.25">
      <c r="A246" s="16" t="s">
        <v>37</v>
      </c>
      <c r="B246" s="16" t="s">
        <v>184</v>
      </c>
      <c r="C246" s="16" t="s">
        <v>185</v>
      </c>
      <c r="D246" s="16" t="s">
        <v>190</v>
      </c>
      <c r="E246" s="16" t="s">
        <v>191</v>
      </c>
      <c r="F246" s="16" t="s">
        <v>85</v>
      </c>
      <c r="G246" s="16" t="s">
        <v>40</v>
      </c>
      <c r="H246" s="16" t="s">
        <v>200</v>
      </c>
      <c r="I246" s="16" t="s">
        <v>201</v>
      </c>
      <c r="J246" s="15">
        <v>-14400</v>
      </c>
      <c r="K246" s="15">
        <v>-14400</v>
      </c>
      <c r="L246" s="15">
        <v>-14400</v>
      </c>
      <c r="M246" s="15">
        <f t="shared" si="16"/>
        <v>0</v>
      </c>
      <c r="N246" s="15">
        <v>0</v>
      </c>
      <c r="O246" s="15">
        <f t="shared" si="19"/>
        <v>0</v>
      </c>
      <c r="P246" s="36">
        <v>0</v>
      </c>
      <c r="Q246" s="15">
        <f t="shared" si="17"/>
        <v>0</v>
      </c>
      <c r="R246" s="36"/>
      <c r="S246" s="15"/>
    </row>
    <row r="247" spans="1:19" x14ac:dyDescent="0.25">
      <c r="A247" s="16" t="s">
        <v>37</v>
      </c>
      <c r="B247" s="16" t="s">
        <v>184</v>
      </c>
      <c r="C247" s="16" t="s">
        <v>185</v>
      </c>
      <c r="D247" s="16" t="s">
        <v>190</v>
      </c>
      <c r="E247" s="16" t="s">
        <v>191</v>
      </c>
      <c r="F247" s="16" t="s">
        <v>85</v>
      </c>
      <c r="G247" s="16" t="s">
        <v>40</v>
      </c>
      <c r="H247" s="16" t="s">
        <v>62</v>
      </c>
      <c r="I247" s="16" t="s">
        <v>63</v>
      </c>
      <c r="J247" s="15">
        <v>-8556.4620000000032</v>
      </c>
      <c r="K247" s="15">
        <v>-8556.4620000000032</v>
      </c>
      <c r="L247" s="15">
        <v>-8556.4599884200015</v>
      </c>
      <c r="M247" s="15">
        <f t="shared" si="16"/>
        <v>-2.0115800016355934E-3</v>
      </c>
      <c r="N247" s="15">
        <v>0</v>
      </c>
      <c r="O247" s="15">
        <f t="shared" si="19"/>
        <v>0</v>
      </c>
      <c r="P247" s="36">
        <v>0</v>
      </c>
      <c r="Q247" s="15">
        <f t="shared" si="17"/>
        <v>0</v>
      </c>
      <c r="R247" s="36"/>
      <c r="S247" s="15"/>
    </row>
    <row r="248" spans="1:19" x14ac:dyDescent="0.25">
      <c r="A248" s="16" t="s">
        <v>37</v>
      </c>
      <c r="B248" s="16" t="s">
        <v>184</v>
      </c>
      <c r="C248" s="16" t="s">
        <v>202</v>
      </c>
      <c r="D248" s="16" t="s">
        <v>203</v>
      </c>
      <c r="E248" s="16" t="s">
        <v>204</v>
      </c>
      <c r="F248" s="16" t="s">
        <v>85</v>
      </c>
      <c r="G248" s="16" t="s">
        <v>40</v>
      </c>
      <c r="H248" s="16" t="s">
        <v>38</v>
      </c>
      <c r="I248" s="16" t="s">
        <v>38</v>
      </c>
      <c r="J248" s="15">
        <v>-122711.2499980844</v>
      </c>
      <c r="K248" s="15">
        <v>0</v>
      </c>
      <c r="L248" s="15">
        <v>-20406.25</v>
      </c>
      <c r="M248" s="15">
        <f t="shared" si="16"/>
        <v>-102304.9999980844</v>
      </c>
      <c r="N248" s="15">
        <v>-102304.9999980844</v>
      </c>
      <c r="O248" s="15">
        <v>0</v>
      </c>
      <c r="P248" s="36">
        <v>0</v>
      </c>
      <c r="Q248" s="15">
        <f t="shared" si="17"/>
        <v>0</v>
      </c>
      <c r="R248" s="36"/>
      <c r="S248" s="15"/>
    </row>
    <row r="249" spans="1:19" x14ac:dyDescent="0.25">
      <c r="A249" s="16" t="s">
        <v>37</v>
      </c>
      <c r="B249" s="16" t="s">
        <v>184</v>
      </c>
      <c r="C249" s="16" t="s">
        <v>202</v>
      </c>
      <c r="D249" s="16" t="s">
        <v>203</v>
      </c>
      <c r="E249" s="16" t="s">
        <v>204</v>
      </c>
      <c r="F249" s="16" t="s">
        <v>85</v>
      </c>
      <c r="G249" s="16" t="s">
        <v>40</v>
      </c>
      <c r="H249" s="16" t="s">
        <v>62</v>
      </c>
      <c r="I249" s="16" t="s">
        <v>63</v>
      </c>
      <c r="J249" s="15">
        <v>-2142.81</v>
      </c>
      <c r="K249" s="15">
        <v>-2142.81</v>
      </c>
      <c r="L249" s="15">
        <v>-2142.8099971000001</v>
      </c>
      <c r="M249" s="15">
        <f t="shared" si="16"/>
        <v>-2.8999997994105797E-6</v>
      </c>
      <c r="N249" s="15">
        <v>0</v>
      </c>
      <c r="O249" s="15">
        <v>0</v>
      </c>
      <c r="P249" s="36">
        <v>0</v>
      </c>
      <c r="Q249" s="15">
        <f t="shared" si="17"/>
        <v>0</v>
      </c>
      <c r="R249" s="36"/>
      <c r="S249" s="15"/>
    </row>
    <row r="250" spans="1:19" x14ac:dyDescent="0.25">
      <c r="A250" s="16" t="s">
        <v>37</v>
      </c>
      <c r="B250" s="16" t="s">
        <v>184</v>
      </c>
      <c r="C250" s="16" t="s">
        <v>202</v>
      </c>
      <c r="D250" s="16" t="s">
        <v>205</v>
      </c>
      <c r="E250" s="16" t="s">
        <v>206</v>
      </c>
      <c r="F250" s="16" t="s">
        <v>85</v>
      </c>
      <c r="G250" s="16" t="s">
        <v>40</v>
      </c>
      <c r="H250" s="16" t="s">
        <v>38</v>
      </c>
      <c r="I250" s="16" t="s">
        <v>38</v>
      </c>
      <c r="J250" s="15">
        <v>-35067.499999801905</v>
      </c>
      <c r="K250" s="15">
        <v>0</v>
      </c>
      <c r="L250" s="15">
        <v>-24487.5</v>
      </c>
      <c r="M250" s="15">
        <f t="shared" si="16"/>
        <v>-10579.999999801905</v>
      </c>
      <c r="N250" s="15">
        <v>-10579.999999801901</v>
      </c>
      <c r="O250" s="15">
        <v>0</v>
      </c>
      <c r="P250" s="36">
        <v>0</v>
      </c>
      <c r="Q250" s="15">
        <f t="shared" si="17"/>
        <v>0</v>
      </c>
      <c r="R250" s="36"/>
      <c r="S250" s="15"/>
    </row>
    <row r="251" spans="1:19" x14ac:dyDescent="0.25">
      <c r="A251" s="16" t="s">
        <v>37</v>
      </c>
      <c r="B251" s="16" t="s">
        <v>184</v>
      </c>
      <c r="C251" s="16" t="s">
        <v>202</v>
      </c>
      <c r="D251" s="16" t="s">
        <v>207</v>
      </c>
      <c r="E251" s="16" t="s">
        <v>208</v>
      </c>
      <c r="F251" s="16" t="s">
        <v>85</v>
      </c>
      <c r="G251" s="16" t="s">
        <v>40</v>
      </c>
      <c r="H251" s="16" t="s">
        <v>38</v>
      </c>
      <c r="I251" s="16" t="s">
        <v>38</v>
      </c>
      <c r="J251" s="15">
        <v>-22344.999999887285</v>
      </c>
      <c r="K251" s="15">
        <v>0</v>
      </c>
      <c r="L251" s="15">
        <v>-16325</v>
      </c>
      <c r="M251" s="15">
        <f t="shared" si="16"/>
        <v>-6019.9999998872845</v>
      </c>
      <c r="N251" s="15">
        <v>-6019.9999998872854</v>
      </c>
      <c r="O251" s="15">
        <v>0</v>
      </c>
      <c r="P251" s="36">
        <v>0</v>
      </c>
      <c r="Q251" s="15">
        <f t="shared" si="17"/>
        <v>0</v>
      </c>
      <c r="R251" s="36"/>
      <c r="S251" s="15"/>
    </row>
    <row r="252" spans="1:19" x14ac:dyDescent="0.25">
      <c r="A252" s="16" t="s">
        <v>37</v>
      </c>
      <c r="B252" s="16" t="s">
        <v>184</v>
      </c>
      <c r="C252" s="16" t="s">
        <v>209</v>
      </c>
      <c r="D252" s="16" t="s">
        <v>210</v>
      </c>
      <c r="E252" s="16" t="s">
        <v>211</v>
      </c>
      <c r="F252" s="16" t="s">
        <v>85</v>
      </c>
      <c r="G252" s="16" t="s">
        <v>40</v>
      </c>
      <c r="H252" s="16" t="s">
        <v>38</v>
      </c>
      <c r="I252" s="16" t="s">
        <v>38</v>
      </c>
      <c r="J252" s="15">
        <v>-289970.00465245533</v>
      </c>
      <c r="K252" s="15">
        <v>-11655</v>
      </c>
      <c r="L252" s="15">
        <v>-53457.789999999994</v>
      </c>
      <c r="M252" s="15">
        <f t="shared" si="16"/>
        <v>-236512.21465245535</v>
      </c>
      <c r="N252" s="15">
        <v>-236512.21465245532</v>
      </c>
      <c r="O252" s="15">
        <v>0</v>
      </c>
      <c r="P252" s="36">
        <v>0</v>
      </c>
      <c r="Q252" s="15">
        <f t="shared" si="17"/>
        <v>0</v>
      </c>
      <c r="R252" s="36"/>
      <c r="S252" s="15"/>
    </row>
    <row r="253" spans="1:19" x14ac:dyDescent="0.25">
      <c r="A253" s="16" t="s">
        <v>37</v>
      </c>
      <c r="B253" s="16" t="s">
        <v>184</v>
      </c>
      <c r="C253" s="16" t="s">
        <v>209</v>
      </c>
      <c r="D253" s="16" t="s">
        <v>210</v>
      </c>
      <c r="E253" s="16" t="s">
        <v>211</v>
      </c>
      <c r="F253" s="16" t="s">
        <v>85</v>
      </c>
      <c r="G253" s="16" t="s">
        <v>40</v>
      </c>
      <c r="H253" s="16" t="s">
        <v>62</v>
      </c>
      <c r="I253" s="16" t="s">
        <v>63</v>
      </c>
      <c r="J253" s="15">
        <v>-9472.6980000000003</v>
      </c>
      <c r="K253" s="15">
        <v>-9472.6980000000003</v>
      </c>
      <c r="L253" s="15">
        <v>-9472.6999871799962</v>
      </c>
      <c r="M253" s="15">
        <f t="shared" si="16"/>
        <v>1.9871799959219061E-3</v>
      </c>
      <c r="N253" s="15">
        <v>0</v>
      </c>
      <c r="O253" s="15">
        <v>0</v>
      </c>
      <c r="P253" s="36">
        <v>0</v>
      </c>
      <c r="Q253" s="15">
        <f t="shared" si="17"/>
        <v>0</v>
      </c>
      <c r="R253" s="36"/>
      <c r="S253" s="15"/>
    </row>
    <row r="254" spans="1:19" x14ac:dyDescent="0.25">
      <c r="A254" s="16" t="s">
        <v>37</v>
      </c>
      <c r="B254" s="16" t="s">
        <v>184</v>
      </c>
      <c r="C254" s="16" t="s">
        <v>209</v>
      </c>
      <c r="D254" s="16" t="s">
        <v>212</v>
      </c>
      <c r="E254" s="16" t="s">
        <v>213</v>
      </c>
      <c r="F254" s="16" t="s">
        <v>85</v>
      </c>
      <c r="G254" s="16" t="s">
        <v>40</v>
      </c>
      <c r="H254" s="16" t="s">
        <v>38</v>
      </c>
      <c r="I254" s="16" t="s">
        <v>38</v>
      </c>
      <c r="J254" s="15">
        <v>-9661.499999971933</v>
      </c>
      <c r="K254" s="15">
        <v>0</v>
      </c>
      <c r="L254" s="15">
        <v>-8162.5</v>
      </c>
      <c r="M254" s="15">
        <f t="shared" si="16"/>
        <v>-1498.999999971933</v>
      </c>
      <c r="N254" s="15">
        <v>-1498.999999971933</v>
      </c>
      <c r="O254" s="15">
        <v>0</v>
      </c>
      <c r="P254" s="36">
        <v>0</v>
      </c>
      <c r="Q254" s="15">
        <f t="shared" si="17"/>
        <v>0</v>
      </c>
      <c r="R254" s="36"/>
      <c r="S254" s="15"/>
    </row>
    <row r="255" spans="1:19" x14ac:dyDescent="0.25">
      <c r="A255" s="16" t="s">
        <v>37</v>
      </c>
      <c r="B255" s="16" t="s">
        <v>214</v>
      </c>
      <c r="C255" s="16" t="s">
        <v>215</v>
      </c>
      <c r="D255" s="16" t="s">
        <v>216</v>
      </c>
      <c r="E255" s="16" t="s">
        <v>217</v>
      </c>
      <c r="F255" s="16" t="s">
        <v>85</v>
      </c>
      <c r="G255" s="16" t="s">
        <v>40</v>
      </c>
      <c r="H255" s="16" t="s">
        <v>77</v>
      </c>
      <c r="I255" s="16" t="s">
        <v>78</v>
      </c>
      <c r="J255" s="15">
        <v>0</v>
      </c>
      <c r="K255" s="15">
        <v>0</v>
      </c>
      <c r="L255" s="15">
        <v>0</v>
      </c>
      <c r="M255" s="15">
        <f t="shared" si="16"/>
        <v>0</v>
      </c>
      <c r="N255" s="15">
        <v>0</v>
      </c>
      <c r="O255" s="15">
        <f>N255-P255</f>
        <v>180000</v>
      </c>
      <c r="P255" s="36">
        <v>-180000</v>
      </c>
      <c r="Q255" s="15">
        <f t="shared" si="17"/>
        <v>0</v>
      </c>
      <c r="R255" s="36"/>
      <c r="S255" s="15"/>
    </row>
    <row r="256" spans="1:19" x14ac:dyDescent="0.25">
      <c r="A256" s="16" t="s">
        <v>37</v>
      </c>
      <c r="B256" s="16" t="s">
        <v>214</v>
      </c>
      <c r="C256" s="16" t="s">
        <v>215</v>
      </c>
      <c r="D256" s="16" t="s">
        <v>216</v>
      </c>
      <c r="E256" s="16" t="s">
        <v>217</v>
      </c>
      <c r="F256" s="16" t="s">
        <v>85</v>
      </c>
      <c r="G256" s="16" t="s">
        <v>40</v>
      </c>
      <c r="H256" s="16" t="s">
        <v>79</v>
      </c>
      <c r="I256" s="16" t="s">
        <v>80</v>
      </c>
      <c r="J256" s="15">
        <v>0</v>
      </c>
      <c r="K256" s="15">
        <v>0</v>
      </c>
      <c r="L256" s="15">
        <v>0</v>
      </c>
      <c r="M256" s="15">
        <f t="shared" si="16"/>
        <v>0</v>
      </c>
      <c r="N256" s="15">
        <v>0</v>
      </c>
      <c r="O256" s="15">
        <f>N256-P256</f>
        <v>200000</v>
      </c>
      <c r="P256" s="36">
        <v>-200000</v>
      </c>
      <c r="Q256" s="15">
        <f t="shared" si="17"/>
        <v>0</v>
      </c>
      <c r="R256" s="36"/>
      <c r="S256" s="15"/>
    </row>
    <row r="257" spans="1:19" x14ac:dyDescent="0.25">
      <c r="A257" s="16" t="s">
        <v>37</v>
      </c>
      <c r="B257" s="16" t="s">
        <v>214</v>
      </c>
      <c r="C257" s="16" t="s">
        <v>218</v>
      </c>
      <c r="D257" s="16" t="s">
        <v>219</v>
      </c>
      <c r="E257" s="16" t="s">
        <v>220</v>
      </c>
      <c r="F257" s="16" t="s">
        <v>85</v>
      </c>
      <c r="G257" s="16" t="s">
        <v>40</v>
      </c>
      <c r="H257" s="16" t="s">
        <v>38</v>
      </c>
      <c r="I257" s="16" t="s">
        <v>38</v>
      </c>
      <c r="J257" s="15">
        <v>-258025.51261533637</v>
      </c>
      <c r="K257" s="15">
        <v>-43754.400000000001</v>
      </c>
      <c r="L257" s="15">
        <v>-169228.45222850659</v>
      </c>
      <c r="M257" s="15">
        <f t="shared" si="16"/>
        <v>-88797.060386829777</v>
      </c>
      <c r="N257" s="15">
        <v>-88797.060386829762</v>
      </c>
      <c r="O257" s="15">
        <f>N257-P22</f>
        <v>-88797.060386829762</v>
      </c>
      <c r="P257" s="36">
        <v>0</v>
      </c>
      <c r="Q257" s="15">
        <f t="shared" si="17"/>
        <v>-88797.060386829762</v>
      </c>
      <c r="R257" s="36"/>
      <c r="S257" s="15"/>
    </row>
    <row r="258" spans="1:19" x14ac:dyDescent="0.25">
      <c r="A258" s="16" t="s">
        <v>37</v>
      </c>
      <c r="B258" s="16" t="s">
        <v>214</v>
      </c>
      <c r="C258" s="16" t="s">
        <v>218</v>
      </c>
      <c r="D258" s="16" t="s">
        <v>219</v>
      </c>
      <c r="E258" s="16" t="s">
        <v>220</v>
      </c>
      <c r="F258" s="16" t="s">
        <v>85</v>
      </c>
      <c r="G258" s="16" t="s">
        <v>40</v>
      </c>
      <c r="H258" s="16" t="s">
        <v>221</v>
      </c>
      <c r="I258" s="16" t="s">
        <v>222</v>
      </c>
      <c r="J258" s="15">
        <v>-723550.31</v>
      </c>
      <c r="K258" s="15">
        <v>0</v>
      </c>
      <c r="L258" s="15">
        <v>-78422.67</v>
      </c>
      <c r="M258" s="15">
        <f t="shared" si="16"/>
        <v>-645127.64</v>
      </c>
      <c r="N258" s="15">
        <v>-645127.64</v>
      </c>
      <c r="O258" s="15">
        <f>N258-P258</f>
        <v>-645127.64</v>
      </c>
      <c r="P258" s="36">
        <v>0</v>
      </c>
      <c r="Q258" s="15">
        <f t="shared" si="17"/>
        <v>-645127.64</v>
      </c>
      <c r="R258" s="36"/>
      <c r="S258" s="15"/>
    </row>
    <row r="259" spans="1:19" x14ac:dyDescent="0.25">
      <c r="A259" s="16" t="s">
        <v>37</v>
      </c>
      <c r="B259" s="16" t="s">
        <v>214</v>
      </c>
      <c r="C259" s="16" t="s">
        <v>218</v>
      </c>
      <c r="D259" s="16" t="s">
        <v>219</v>
      </c>
      <c r="E259" s="16" t="s">
        <v>220</v>
      </c>
      <c r="F259" s="16" t="s">
        <v>85</v>
      </c>
      <c r="G259" s="16" t="s">
        <v>40</v>
      </c>
      <c r="H259" s="16" t="s">
        <v>223</v>
      </c>
      <c r="I259" s="16" t="s">
        <v>224</v>
      </c>
      <c r="J259" s="15">
        <v>-709754.59</v>
      </c>
      <c r="K259" s="15">
        <v>0</v>
      </c>
      <c r="L259" s="15">
        <v>-285974.53999999998</v>
      </c>
      <c r="M259" s="15">
        <f t="shared" si="16"/>
        <v>-423780.05</v>
      </c>
      <c r="N259" s="15">
        <v>-423780.04999999993</v>
      </c>
      <c r="O259" s="15">
        <f>N259-P259</f>
        <v>-423780.04999999993</v>
      </c>
      <c r="P259" s="36">
        <v>0</v>
      </c>
      <c r="Q259" s="15">
        <f t="shared" si="17"/>
        <v>-423780.04999999993</v>
      </c>
      <c r="R259" s="36"/>
      <c r="S259" s="15"/>
    </row>
    <row r="260" spans="1:19" x14ac:dyDescent="0.25">
      <c r="A260" s="16" t="s">
        <v>37</v>
      </c>
      <c r="B260" s="16" t="s">
        <v>214</v>
      </c>
      <c r="C260" s="16" t="s">
        <v>218</v>
      </c>
      <c r="D260" s="16" t="s">
        <v>219</v>
      </c>
      <c r="E260" s="16" t="s">
        <v>220</v>
      </c>
      <c r="F260" s="16" t="s">
        <v>85</v>
      </c>
      <c r="G260" s="16" t="s">
        <v>40</v>
      </c>
      <c r="H260" s="16" t="s">
        <v>225</v>
      </c>
      <c r="I260" s="16" t="s">
        <v>226</v>
      </c>
      <c r="J260" s="15">
        <v>-985919.54999999993</v>
      </c>
      <c r="K260" s="15">
        <v>-985919.54999999993</v>
      </c>
      <c r="L260" s="15">
        <v>-920899.58</v>
      </c>
      <c r="M260" s="15">
        <f t="shared" si="16"/>
        <v>-65019.969999999972</v>
      </c>
      <c r="N260" s="15">
        <v>0</v>
      </c>
      <c r="O260" s="15">
        <f>N260-P260</f>
        <v>0</v>
      </c>
      <c r="P260" s="36">
        <v>0</v>
      </c>
      <c r="Q260" s="15">
        <f t="shared" si="17"/>
        <v>0</v>
      </c>
      <c r="R260" s="36"/>
      <c r="S260" s="15"/>
    </row>
    <row r="261" spans="1:19" x14ac:dyDescent="0.25">
      <c r="A261" s="16" t="s">
        <v>37</v>
      </c>
      <c r="B261" s="16" t="s">
        <v>214</v>
      </c>
      <c r="C261" s="16" t="s">
        <v>218</v>
      </c>
      <c r="D261" s="16" t="s">
        <v>219</v>
      </c>
      <c r="E261" s="16" t="s">
        <v>220</v>
      </c>
      <c r="F261" s="16" t="s">
        <v>85</v>
      </c>
      <c r="G261" s="16" t="s">
        <v>40</v>
      </c>
      <c r="H261" s="16" t="s">
        <v>62</v>
      </c>
      <c r="I261" s="16" t="s">
        <v>63</v>
      </c>
      <c r="J261" s="15">
        <v>-2046.7529999999997</v>
      </c>
      <c r="K261" s="15">
        <v>-2046.7529999999997</v>
      </c>
      <c r="L261" s="15">
        <v>-2046.7499972300038</v>
      </c>
      <c r="M261" s="15">
        <f t="shared" si="16"/>
        <v>-3.0027699958736775E-3</v>
      </c>
      <c r="N261" s="15">
        <v>0</v>
      </c>
      <c r="O261" s="15">
        <f>N261-P261</f>
        <v>0</v>
      </c>
      <c r="P261" s="36">
        <v>0</v>
      </c>
      <c r="Q261" s="15">
        <f t="shared" si="17"/>
        <v>0</v>
      </c>
      <c r="R261" s="36"/>
      <c r="S261" s="15"/>
    </row>
    <row r="262" spans="1:19" x14ac:dyDescent="0.25">
      <c r="A262" s="16" t="s">
        <v>37</v>
      </c>
      <c r="B262" s="16" t="s">
        <v>214</v>
      </c>
      <c r="C262" s="16" t="s">
        <v>218</v>
      </c>
      <c r="D262" s="16" t="s">
        <v>219</v>
      </c>
      <c r="E262" s="16" t="s">
        <v>220</v>
      </c>
      <c r="F262" s="16" t="s">
        <v>85</v>
      </c>
      <c r="G262" s="16" t="s">
        <v>40</v>
      </c>
      <c r="H262" s="16" t="s">
        <v>227</v>
      </c>
      <c r="I262" s="16" t="s">
        <v>228</v>
      </c>
      <c r="J262" s="15">
        <v>-25859000.0002</v>
      </c>
      <c r="K262" s="15">
        <v>0</v>
      </c>
      <c r="L262" s="15">
        <v>-25856746.48</v>
      </c>
      <c r="M262" s="15">
        <f t="shared" si="16"/>
        <v>-2253.5201999992132</v>
      </c>
      <c r="N262" s="15">
        <f>M262</f>
        <v>-2253.5201999992132</v>
      </c>
      <c r="O262" s="15">
        <v>0</v>
      </c>
      <c r="P262" s="36">
        <v>0</v>
      </c>
      <c r="Q262" s="15">
        <f t="shared" si="17"/>
        <v>0</v>
      </c>
      <c r="R262" s="36"/>
      <c r="S262" s="15">
        <f>N262</f>
        <v>-2253.5201999992132</v>
      </c>
    </row>
    <row r="263" spans="1:19" x14ac:dyDescent="0.25">
      <c r="A263" s="16" t="s">
        <v>37</v>
      </c>
      <c r="B263" s="16" t="s">
        <v>214</v>
      </c>
      <c r="C263" s="16" t="s">
        <v>218</v>
      </c>
      <c r="D263" s="16" t="s">
        <v>229</v>
      </c>
      <c r="E263" s="16" t="s">
        <v>217</v>
      </c>
      <c r="F263" s="16" t="s">
        <v>85</v>
      </c>
      <c r="G263" s="16" t="s">
        <v>40</v>
      </c>
      <c r="H263" s="16" t="s">
        <v>38</v>
      </c>
      <c r="I263" s="16" t="s">
        <v>38</v>
      </c>
      <c r="J263" s="15">
        <v>-12168222.573460761</v>
      </c>
      <c r="K263" s="15">
        <v>-61057.520000000004</v>
      </c>
      <c r="L263" s="15">
        <v>-6498607.9145251466</v>
      </c>
      <c r="M263" s="15">
        <f t="shared" si="16"/>
        <v>-5669614.6589356149</v>
      </c>
      <c r="N263" s="15">
        <v>-5669614.6589356149</v>
      </c>
      <c r="O263" s="15">
        <f t="shared" ref="O263:O283" si="20">N263-P263</f>
        <v>-5473655.9289356144</v>
      </c>
      <c r="P263" s="36">
        <v>-195958.73</v>
      </c>
      <c r="Q263" s="15">
        <f t="shared" si="17"/>
        <v>-5669614.6589356149</v>
      </c>
      <c r="R263" s="36"/>
      <c r="S263" s="15"/>
    </row>
    <row r="264" spans="1:19" x14ac:dyDescent="0.25">
      <c r="A264" s="16" t="s">
        <v>37</v>
      </c>
      <c r="B264" s="16" t="s">
        <v>214</v>
      </c>
      <c r="C264" s="16" t="s">
        <v>218</v>
      </c>
      <c r="D264" s="16" t="s">
        <v>229</v>
      </c>
      <c r="E264" s="16" t="s">
        <v>217</v>
      </c>
      <c r="F264" s="16" t="s">
        <v>85</v>
      </c>
      <c r="G264" s="16" t="s">
        <v>40</v>
      </c>
      <c r="H264" s="16" t="s">
        <v>124</v>
      </c>
      <c r="I264" s="16" t="s">
        <v>125</v>
      </c>
      <c r="J264" s="15">
        <v>0</v>
      </c>
      <c r="K264" s="15">
        <v>0</v>
      </c>
      <c r="L264" s="15">
        <v>3.3466575448528602E-3</v>
      </c>
      <c r="M264" s="15">
        <f t="shared" si="16"/>
        <v>-3.3466575448528602E-3</v>
      </c>
      <c r="N264" s="15">
        <v>0</v>
      </c>
      <c r="O264" s="15">
        <f t="shared" si="20"/>
        <v>0</v>
      </c>
      <c r="P264" s="36">
        <v>0</v>
      </c>
      <c r="Q264" s="15">
        <f t="shared" si="17"/>
        <v>0</v>
      </c>
      <c r="R264" s="36"/>
      <c r="S264" s="15"/>
    </row>
    <row r="265" spans="1:19" x14ac:dyDescent="0.25">
      <c r="A265" s="16" t="s">
        <v>37</v>
      </c>
      <c r="B265" s="16" t="s">
        <v>214</v>
      </c>
      <c r="C265" s="16" t="s">
        <v>218</v>
      </c>
      <c r="D265" s="16" t="s">
        <v>229</v>
      </c>
      <c r="E265" s="16" t="s">
        <v>217</v>
      </c>
      <c r="F265" s="16" t="s">
        <v>85</v>
      </c>
      <c r="G265" s="16" t="s">
        <v>40</v>
      </c>
      <c r="H265" s="16" t="s">
        <v>62</v>
      </c>
      <c r="I265" s="16" t="s">
        <v>63</v>
      </c>
      <c r="J265" s="15">
        <v>-1529.5229999999997</v>
      </c>
      <c r="K265" s="15">
        <v>-1529.5229999999997</v>
      </c>
      <c r="L265" s="15">
        <v>-1529.5199979300041</v>
      </c>
      <c r="M265" s="15">
        <f t="shared" si="16"/>
        <v>-3.002069995545753E-3</v>
      </c>
      <c r="N265" s="15">
        <v>0</v>
      </c>
      <c r="O265" s="15">
        <f t="shared" si="20"/>
        <v>0</v>
      </c>
      <c r="P265" s="36">
        <v>0</v>
      </c>
      <c r="Q265" s="15">
        <f t="shared" si="17"/>
        <v>0</v>
      </c>
      <c r="R265" s="36"/>
      <c r="S265" s="15"/>
    </row>
    <row r="266" spans="1:19" x14ac:dyDescent="0.25">
      <c r="A266" s="16" t="s">
        <v>37</v>
      </c>
      <c r="B266" s="16" t="s">
        <v>214</v>
      </c>
      <c r="C266" s="16" t="s">
        <v>218</v>
      </c>
      <c r="D266" s="16" t="s">
        <v>229</v>
      </c>
      <c r="E266" s="16" t="s">
        <v>217</v>
      </c>
      <c r="F266" s="16" t="s">
        <v>85</v>
      </c>
      <c r="G266" s="16" t="s">
        <v>40</v>
      </c>
      <c r="H266" s="16" t="s">
        <v>77</v>
      </c>
      <c r="I266" s="16" t="s">
        <v>78</v>
      </c>
      <c r="J266" s="15">
        <v>-3773000</v>
      </c>
      <c r="K266" s="15">
        <v>0</v>
      </c>
      <c r="L266" s="15">
        <v>-3537629.96</v>
      </c>
      <c r="M266" s="15">
        <f t="shared" si="16"/>
        <v>-235370.04000000004</v>
      </c>
      <c r="N266" s="15">
        <v>-235370.04000000033</v>
      </c>
      <c r="O266" s="15">
        <f t="shared" si="20"/>
        <v>-235370.04000000033</v>
      </c>
      <c r="P266" s="36">
        <v>0</v>
      </c>
      <c r="Q266" s="15">
        <f t="shared" si="17"/>
        <v>-235370.04000000033</v>
      </c>
      <c r="R266" s="36"/>
      <c r="S266" s="15"/>
    </row>
    <row r="267" spans="1:19" x14ac:dyDescent="0.25">
      <c r="A267" s="16" t="s">
        <v>37</v>
      </c>
      <c r="B267" s="16" t="s">
        <v>214</v>
      </c>
      <c r="C267" s="16" t="s">
        <v>218</v>
      </c>
      <c r="D267" s="16" t="s">
        <v>229</v>
      </c>
      <c r="E267" s="16" t="s">
        <v>217</v>
      </c>
      <c r="F267" s="16" t="s">
        <v>85</v>
      </c>
      <c r="G267" s="16" t="s">
        <v>40</v>
      </c>
      <c r="H267" s="16" t="s">
        <v>79</v>
      </c>
      <c r="I267" s="16" t="s">
        <v>80</v>
      </c>
      <c r="J267" s="15">
        <v>-1589000.00019</v>
      </c>
      <c r="K267" s="15">
        <v>0</v>
      </c>
      <c r="L267" s="15">
        <v>-1389000.0001958399</v>
      </c>
      <c r="M267" s="15">
        <f t="shared" si="16"/>
        <v>-199999.99999416014</v>
      </c>
      <c r="N267" s="15">
        <v>-199999.99999415956</v>
      </c>
      <c r="O267" s="15">
        <f t="shared" si="20"/>
        <v>-199999.99999415956</v>
      </c>
      <c r="P267" s="36">
        <v>0</v>
      </c>
      <c r="Q267" s="15">
        <f t="shared" si="17"/>
        <v>-199999.99999415956</v>
      </c>
      <c r="R267" s="36"/>
      <c r="S267" s="15"/>
    </row>
    <row r="268" spans="1:19" x14ac:dyDescent="0.25">
      <c r="A268" s="16" t="s">
        <v>37</v>
      </c>
      <c r="B268" s="16" t="s">
        <v>214</v>
      </c>
      <c r="C268" s="16" t="s">
        <v>218</v>
      </c>
      <c r="D268" s="16" t="s">
        <v>230</v>
      </c>
      <c r="E268" s="16" t="s">
        <v>231</v>
      </c>
      <c r="F268" s="16" t="s">
        <v>85</v>
      </c>
      <c r="G268" s="16" t="s">
        <v>40</v>
      </c>
      <c r="H268" s="16" t="s">
        <v>38</v>
      </c>
      <c r="I268" s="16" t="s">
        <v>38</v>
      </c>
      <c r="J268" s="15">
        <v>-5200103.266654863</v>
      </c>
      <c r="K268" s="15">
        <v>-14955.6</v>
      </c>
      <c r="L268" s="15">
        <v>-5163713.4383435352</v>
      </c>
      <c r="M268" s="15">
        <f t="shared" ref="M268:M283" si="21">J268-L268</f>
        <v>-36389.828311327845</v>
      </c>
      <c r="N268" s="15">
        <v>-36389.828311327845</v>
      </c>
      <c r="O268" s="15">
        <f t="shared" si="20"/>
        <v>-36389.828311327845</v>
      </c>
      <c r="P268" s="36">
        <v>0</v>
      </c>
      <c r="Q268" s="15">
        <f t="shared" ref="Q268:Q283" si="22">O268+P268</f>
        <v>-36389.828311327845</v>
      </c>
      <c r="R268" s="36"/>
      <c r="S268" s="15"/>
    </row>
    <row r="269" spans="1:19" x14ac:dyDescent="0.25">
      <c r="A269" s="16" t="s">
        <v>37</v>
      </c>
      <c r="B269" s="16" t="s">
        <v>214</v>
      </c>
      <c r="C269" s="16" t="s">
        <v>218</v>
      </c>
      <c r="D269" s="16" t="s">
        <v>230</v>
      </c>
      <c r="E269" s="16" t="s">
        <v>231</v>
      </c>
      <c r="F269" s="16" t="s">
        <v>85</v>
      </c>
      <c r="G269" s="16" t="s">
        <v>40</v>
      </c>
      <c r="H269" s="16" t="s">
        <v>62</v>
      </c>
      <c r="I269" s="16" t="s">
        <v>63</v>
      </c>
      <c r="J269" s="15">
        <v>-1669.9139999999995</v>
      </c>
      <c r="K269" s="15">
        <v>-1669.9139999999995</v>
      </c>
      <c r="L269" s="15">
        <v>-1669.9099977400056</v>
      </c>
      <c r="M269" s="15">
        <f t="shared" si="21"/>
        <v>-4.0022599939675274E-3</v>
      </c>
      <c r="N269" s="15">
        <v>0</v>
      </c>
      <c r="O269" s="15">
        <f t="shared" si="20"/>
        <v>0</v>
      </c>
      <c r="P269" s="36">
        <v>0</v>
      </c>
      <c r="Q269" s="15">
        <f t="shared" si="22"/>
        <v>0</v>
      </c>
      <c r="R269" s="36"/>
      <c r="S269" s="15"/>
    </row>
    <row r="270" spans="1:19" x14ac:dyDescent="0.25">
      <c r="A270" s="16" t="s">
        <v>37</v>
      </c>
      <c r="B270" s="16" t="s">
        <v>214</v>
      </c>
      <c r="C270" s="16" t="s">
        <v>218</v>
      </c>
      <c r="D270" s="16" t="s">
        <v>232</v>
      </c>
      <c r="E270" s="16" t="s">
        <v>233</v>
      </c>
      <c r="F270" s="16" t="s">
        <v>85</v>
      </c>
      <c r="G270" s="16" t="s">
        <v>40</v>
      </c>
      <c r="H270" s="16" t="s">
        <v>38</v>
      </c>
      <c r="I270" s="16" t="s">
        <v>38</v>
      </c>
      <c r="J270" s="15">
        <v>-27760818.871819399</v>
      </c>
      <c r="K270" s="15">
        <v>-3141475.56</v>
      </c>
      <c r="L270" s="15">
        <v>-26236364.65006547</v>
      </c>
      <c r="M270" s="15">
        <f t="shared" si="21"/>
        <v>-1524454.2217539288</v>
      </c>
      <c r="N270" s="15">
        <v>-1524454.2217539269</v>
      </c>
      <c r="O270" s="15">
        <f t="shared" si="20"/>
        <v>-1524454.2217539269</v>
      </c>
      <c r="P270" s="36">
        <v>0</v>
      </c>
      <c r="Q270" s="15">
        <f t="shared" si="22"/>
        <v>-1524454.2217539269</v>
      </c>
      <c r="R270" s="36"/>
      <c r="S270" s="15"/>
    </row>
    <row r="271" spans="1:19" x14ac:dyDescent="0.25">
      <c r="A271" s="16" t="s">
        <v>37</v>
      </c>
      <c r="B271" s="16" t="s">
        <v>214</v>
      </c>
      <c r="C271" s="16" t="s">
        <v>218</v>
      </c>
      <c r="D271" s="16" t="s">
        <v>232</v>
      </c>
      <c r="E271" s="16" t="s">
        <v>233</v>
      </c>
      <c r="F271" s="16" t="s">
        <v>85</v>
      </c>
      <c r="G271" s="16" t="s">
        <v>40</v>
      </c>
      <c r="H271" s="16" t="s">
        <v>234</v>
      </c>
      <c r="I271" s="16" t="s">
        <v>235</v>
      </c>
      <c r="J271" s="15">
        <v>-4506619.9999900004</v>
      </c>
      <c r="K271" s="15">
        <v>0</v>
      </c>
      <c r="L271" s="15">
        <v>-4506620.0000000009</v>
      </c>
      <c r="M271" s="15">
        <f t="shared" si="21"/>
        <v>1.0000541806221008E-5</v>
      </c>
      <c r="N271" s="15">
        <v>0</v>
      </c>
      <c r="O271" s="15">
        <f t="shared" si="20"/>
        <v>0</v>
      </c>
      <c r="P271" s="36">
        <v>0</v>
      </c>
      <c r="Q271" s="15">
        <f t="shared" si="22"/>
        <v>0</v>
      </c>
      <c r="R271" s="36"/>
      <c r="S271" s="15"/>
    </row>
    <row r="272" spans="1:19" x14ac:dyDescent="0.25">
      <c r="A272" s="16" t="s">
        <v>37</v>
      </c>
      <c r="B272" s="16" t="s">
        <v>214</v>
      </c>
      <c r="C272" s="16" t="s">
        <v>218</v>
      </c>
      <c r="D272" s="16" t="s">
        <v>232</v>
      </c>
      <c r="E272" s="16" t="s">
        <v>233</v>
      </c>
      <c r="F272" s="16" t="s">
        <v>85</v>
      </c>
      <c r="G272" s="16" t="s">
        <v>40</v>
      </c>
      <c r="H272" s="16" t="s">
        <v>236</v>
      </c>
      <c r="I272" s="16" t="s">
        <v>237</v>
      </c>
      <c r="J272" s="15">
        <v>-700000</v>
      </c>
      <c r="K272" s="15">
        <v>0</v>
      </c>
      <c r="L272" s="15">
        <v>-153132.4</v>
      </c>
      <c r="M272" s="15">
        <f t="shared" si="21"/>
        <v>-546867.6</v>
      </c>
      <c r="N272" s="15">
        <v>-546867.6</v>
      </c>
      <c r="O272" s="15">
        <f t="shared" si="20"/>
        <v>-546867.6</v>
      </c>
      <c r="P272" s="36">
        <v>0</v>
      </c>
      <c r="Q272" s="15">
        <f t="shared" si="22"/>
        <v>-546867.6</v>
      </c>
      <c r="R272" s="36"/>
      <c r="S272" s="15"/>
    </row>
    <row r="273" spans="1:19" x14ac:dyDescent="0.25">
      <c r="A273" s="16" t="s">
        <v>37</v>
      </c>
      <c r="B273" s="16" t="s">
        <v>214</v>
      </c>
      <c r="C273" s="16" t="s">
        <v>218</v>
      </c>
      <c r="D273" s="16" t="s">
        <v>232</v>
      </c>
      <c r="E273" s="16" t="s">
        <v>233</v>
      </c>
      <c r="F273" s="16" t="s">
        <v>85</v>
      </c>
      <c r="G273" s="16" t="s">
        <v>40</v>
      </c>
      <c r="H273" s="16" t="s">
        <v>124</v>
      </c>
      <c r="I273" s="16" t="s">
        <v>125</v>
      </c>
      <c r="J273" s="15">
        <v>-14011.732042560001</v>
      </c>
      <c r="K273" s="15">
        <v>0</v>
      </c>
      <c r="L273" s="15">
        <v>-13716.133920533639</v>
      </c>
      <c r="M273" s="15">
        <f t="shared" si="21"/>
        <v>-295.59812202636203</v>
      </c>
      <c r="N273" s="15">
        <v>0</v>
      </c>
      <c r="O273" s="15">
        <f t="shared" si="20"/>
        <v>0</v>
      </c>
      <c r="P273" s="36">
        <v>0</v>
      </c>
      <c r="Q273" s="15">
        <f t="shared" si="22"/>
        <v>0</v>
      </c>
      <c r="R273" s="36"/>
      <c r="S273" s="15"/>
    </row>
    <row r="274" spans="1:19" x14ac:dyDescent="0.25">
      <c r="A274" s="16" t="s">
        <v>37</v>
      </c>
      <c r="B274" s="16" t="s">
        <v>214</v>
      </c>
      <c r="C274" s="16" t="s">
        <v>218</v>
      </c>
      <c r="D274" s="16" t="s">
        <v>232</v>
      </c>
      <c r="E274" s="16" t="s">
        <v>233</v>
      </c>
      <c r="F274" s="16" t="s">
        <v>85</v>
      </c>
      <c r="G274" s="16" t="s">
        <v>40</v>
      </c>
      <c r="H274" s="16" t="s">
        <v>62</v>
      </c>
      <c r="I274" s="16" t="s">
        <v>63</v>
      </c>
      <c r="J274" s="15">
        <v>-2297.9789999999998</v>
      </c>
      <c r="K274" s="15">
        <v>-2297.9789999999998</v>
      </c>
      <c r="L274" s="15">
        <v>-2297.9899968899854</v>
      </c>
      <c r="M274" s="15">
        <f t="shared" si="21"/>
        <v>1.099688998556303E-2</v>
      </c>
      <c r="N274" s="15">
        <v>0</v>
      </c>
      <c r="O274" s="15">
        <f t="shared" si="20"/>
        <v>0</v>
      </c>
      <c r="P274" s="36">
        <v>0</v>
      </c>
      <c r="Q274" s="15">
        <f t="shared" si="22"/>
        <v>0</v>
      </c>
      <c r="R274" s="36"/>
      <c r="S274" s="15"/>
    </row>
    <row r="275" spans="1:19" x14ac:dyDescent="0.25">
      <c r="A275" s="16" t="s">
        <v>37</v>
      </c>
      <c r="B275" s="16" t="s">
        <v>214</v>
      </c>
      <c r="C275" s="16" t="s">
        <v>218</v>
      </c>
      <c r="D275" s="16" t="s">
        <v>238</v>
      </c>
      <c r="E275" s="16" t="s">
        <v>239</v>
      </c>
      <c r="F275" s="16" t="s">
        <v>85</v>
      </c>
      <c r="G275" s="16" t="s">
        <v>40</v>
      </c>
      <c r="H275" s="16" t="s">
        <v>38</v>
      </c>
      <c r="I275" s="16" t="s">
        <v>38</v>
      </c>
      <c r="J275" s="15">
        <v>-147797.01349497872</v>
      </c>
      <c r="K275" s="15">
        <v>-44619.6</v>
      </c>
      <c r="L275" s="15">
        <v>-145097.53610063478</v>
      </c>
      <c r="M275" s="15">
        <f t="shared" si="21"/>
        <v>-2699.4773943439359</v>
      </c>
      <c r="N275" s="15">
        <v>-2699.4773943439504</v>
      </c>
      <c r="O275" s="15">
        <f t="shared" si="20"/>
        <v>-2699.4773943439504</v>
      </c>
      <c r="P275" s="36">
        <v>0</v>
      </c>
      <c r="Q275" s="15">
        <f t="shared" si="22"/>
        <v>-2699.4773943439504</v>
      </c>
      <c r="R275" s="36"/>
      <c r="S275" s="15"/>
    </row>
    <row r="276" spans="1:19" x14ac:dyDescent="0.25">
      <c r="A276" s="16" t="s">
        <v>37</v>
      </c>
      <c r="B276" s="16" t="s">
        <v>214</v>
      </c>
      <c r="C276" s="16" t="s">
        <v>218</v>
      </c>
      <c r="D276" s="16" t="s">
        <v>238</v>
      </c>
      <c r="E276" s="16" t="s">
        <v>239</v>
      </c>
      <c r="F276" s="16" t="s">
        <v>85</v>
      </c>
      <c r="G276" s="16" t="s">
        <v>40</v>
      </c>
      <c r="H276" s="16" t="s">
        <v>62</v>
      </c>
      <c r="I276" s="16" t="s">
        <v>63</v>
      </c>
      <c r="J276" s="15">
        <v>-1706.8589999999999</v>
      </c>
      <c r="K276" s="15">
        <v>-1706.8589999999999</v>
      </c>
      <c r="L276" s="15">
        <v>-1706.8599976899984</v>
      </c>
      <c r="M276" s="15">
        <f t="shared" si="21"/>
        <v>9.9768999848492967E-4</v>
      </c>
      <c r="N276" s="15">
        <v>0</v>
      </c>
      <c r="O276" s="15">
        <f t="shared" si="20"/>
        <v>0</v>
      </c>
      <c r="P276" s="36">
        <v>0</v>
      </c>
      <c r="Q276" s="15">
        <f t="shared" si="22"/>
        <v>0</v>
      </c>
      <c r="R276" s="36"/>
      <c r="S276" s="15"/>
    </row>
    <row r="277" spans="1:19" x14ac:dyDescent="0.25">
      <c r="A277" s="16" t="s">
        <v>37</v>
      </c>
      <c r="B277" s="16" t="s">
        <v>214</v>
      </c>
      <c r="C277" s="16" t="s">
        <v>218</v>
      </c>
      <c r="D277" s="16" t="s">
        <v>240</v>
      </c>
      <c r="E277" s="16" t="s">
        <v>241</v>
      </c>
      <c r="F277" s="16" t="s">
        <v>85</v>
      </c>
      <c r="G277" s="16" t="s">
        <v>40</v>
      </c>
      <c r="H277" s="16" t="s">
        <v>38</v>
      </c>
      <c r="I277" s="16" t="s">
        <v>38</v>
      </c>
      <c r="J277" s="15">
        <v>-14351431.527695853</v>
      </c>
      <c r="K277" s="15">
        <v>-38439.599999999999</v>
      </c>
      <c r="L277" s="15">
        <v>-14245524.244569253</v>
      </c>
      <c r="M277" s="15">
        <f t="shared" si="21"/>
        <v>-105907.28312660009</v>
      </c>
      <c r="N277" s="15">
        <v>-105907.28312660195</v>
      </c>
      <c r="O277" s="15">
        <f>N277-P277-56164.44</f>
        <v>-162071.72312660195</v>
      </c>
      <c r="P277" s="36">
        <v>0</v>
      </c>
      <c r="Q277" s="15">
        <f t="shared" si="22"/>
        <v>-162071.72312660195</v>
      </c>
      <c r="R277" s="36"/>
      <c r="S277" s="15"/>
    </row>
    <row r="278" spans="1:19" x14ac:dyDescent="0.25">
      <c r="A278" s="16" t="s">
        <v>37</v>
      </c>
      <c r="B278" s="16" t="s">
        <v>214</v>
      </c>
      <c r="C278" s="16" t="s">
        <v>218</v>
      </c>
      <c r="D278" s="16" t="s">
        <v>240</v>
      </c>
      <c r="E278" s="16" t="s">
        <v>241</v>
      </c>
      <c r="F278" s="16" t="s">
        <v>85</v>
      </c>
      <c r="G278" s="16" t="s">
        <v>40</v>
      </c>
      <c r="H278" s="16" t="s">
        <v>124</v>
      </c>
      <c r="I278" s="16" t="s">
        <v>125</v>
      </c>
      <c r="J278" s="15">
        <v>-29971.459079519998</v>
      </c>
      <c r="K278" s="15">
        <v>0</v>
      </c>
      <c r="L278" s="15">
        <v>-24973.061045146878</v>
      </c>
      <c r="M278" s="15">
        <f t="shared" si="21"/>
        <v>-4998.39803437312</v>
      </c>
      <c r="N278" s="15">
        <v>0</v>
      </c>
      <c r="O278" s="15">
        <f t="shared" si="20"/>
        <v>0</v>
      </c>
      <c r="P278" s="36">
        <v>0</v>
      </c>
      <c r="Q278" s="15">
        <f t="shared" si="22"/>
        <v>0</v>
      </c>
      <c r="R278" s="36"/>
      <c r="S278" s="15"/>
    </row>
    <row r="279" spans="1:19" x14ac:dyDescent="0.25">
      <c r="A279" s="16" t="s">
        <v>37</v>
      </c>
      <c r="B279" s="16" t="s">
        <v>214</v>
      </c>
      <c r="C279" s="16" t="s">
        <v>218</v>
      </c>
      <c r="D279" s="16" t="s">
        <v>240</v>
      </c>
      <c r="E279" s="16" t="s">
        <v>241</v>
      </c>
      <c r="F279" s="16" t="s">
        <v>85</v>
      </c>
      <c r="G279" s="16" t="s">
        <v>40</v>
      </c>
      <c r="H279" s="16" t="s">
        <v>62</v>
      </c>
      <c r="I279" s="16" t="s">
        <v>63</v>
      </c>
      <c r="J279" s="15">
        <v>-4418.6220000000012</v>
      </c>
      <c r="K279" s="15">
        <v>-4418.6220000000012</v>
      </c>
      <c r="L279" s="15">
        <v>-4418.6199940200022</v>
      </c>
      <c r="M279" s="15">
        <f t="shared" si="21"/>
        <v>-2.0059799990121974E-3</v>
      </c>
      <c r="N279" s="15">
        <v>0</v>
      </c>
      <c r="O279" s="15">
        <f t="shared" si="20"/>
        <v>0</v>
      </c>
      <c r="P279" s="36">
        <v>0</v>
      </c>
      <c r="Q279" s="15">
        <f t="shared" si="22"/>
        <v>0</v>
      </c>
      <c r="R279" s="36"/>
      <c r="S279" s="15"/>
    </row>
    <row r="280" spans="1:19" x14ac:dyDescent="0.25">
      <c r="A280" s="16" t="s">
        <v>37</v>
      </c>
      <c r="B280" s="16" t="s">
        <v>214</v>
      </c>
      <c r="C280" s="16" t="s">
        <v>218</v>
      </c>
      <c r="D280" s="16" t="s">
        <v>240</v>
      </c>
      <c r="E280" s="16" t="s">
        <v>241</v>
      </c>
      <c r="F280" s="16" t="s">
        <v>85</v>
      </c>
      <c r="G280" s="16" t="s">
        <v>40</v>
      </c>
      <c r="H280" s="16" t="s">
        <v>79</v>
      </c>
      <c r="I280" s="16" t="s">
        <v>80</v>
      </c>
      <c r="J280" s="15">
        <v>0</v>
      </c>
      <c r="K280" s="15">
        <v>0</v>
      </c>
      <c r="L280" s="15">
        <v>9.9999975645914674E-5</v>
      </c>
      <c r="M280" s="15">
        <f t="shared" si="21"/>
        <v>-9.9999975645914674E-5</v>
      </c>
      <c r="N280" s="15">
        <v>0</v>
      </c>
      <c r="O280" s="15">
        <f t="shared" si="20"/>
        <v>0</v>
      </c>
      <c r="P280" s="36">
        <v>0</v>
      </c>
      <c r="Q280" s="15">
        <f t="shared" si="22"/>
        <v>0</v>
      </c>
      <c r="R280" s="36"/>
      <c r="S280" s="15"/>
    </row>
    <row r="281" spans="1:19" x14ac:dyDescent="0.25">
      <c r="A281" s="16" t="s">
        <v>37</v>
      </c>
      <c r="B281" s="16" t="s">
        <v>214</v>
      </c>
      <c r="C281" s="16" t="s">
        <v>218</v>
      </c>
      <c r="D281" s="16" t="s">
        <v>242</v>
      </c>
      <c r="E281" s="16" t="s">
        <v>243</v>
      </c>
      <c r="F281" s="16" t="s">
        <v>85</v>
      </c>
      <c r="G281" s="16" t="s">
        <v>40</v>
      </c>
      <c r="H281" s="16" t="s">
        <v>38</v>
      </c>
      <c r="I281" s="16" t="s">
        <v>38</v>
      </c>
      <c r="J281" s="15">
        <v>-2336716.5094647598</v>
      </c>
      <c r="K281" s="15">
        <v>-67238.400000000009</v>
      </c>
      <c r="L281" s="15">
        <v>-2280552.0668512811</v>
      </c>
      <c r="M281" s="15">
        <f t="shared" si="21"/>
        <v>-56164.44261347875</v>
      </c>
      <c r="N281" s="15">
        <v>-56164.442613479216</v>
      </c>
      <c r="O281" s="15">
        <f>N281-P281+56164.44</f>
        <v>-2.6134792133234441E-3</v>
      </c>
      <c r="P281" s="36">
        <v>0</v>
      </c>
      <c r="Q281" s="15">
        <f t="shared" si="22"/>
        <v>-2.6134792133234441E-3</v>
      </c>
      <c r="R281" s="36"/>
      <c r="S281" s="15"/>
    </row>
    <row r="282" spans="1:19" x14ac:dyDescent="0.25">
      <c r="A282" s="16" t="s">
        <v>37</v>
      </c>
      <c r="B282" s="16" t="s">
        <v>214</v>
      </c>
      <c r="C282" s="16" t="s">
        <v>218</v>
      </c>
      <c r="D282" s="16" t="s">
        <v>242</v>
      </c>
      <c r="E282" s="16" t="s">
        <v>243</v>
      </c>
      <c r="F282" s="16" t="s">
        <v>85</v>
      </c>
      <c r="G282" s="16" t="s">
        <v>40</v>
      </c>
      <c r="H282" s="16" t="s">
        <v>124</v>
      </c>
      <c r="I282" s="16" t="s">
        <v>125</v>
      </c>
      <c r="J282" s="15">
        <v>-4044.29887792</v>
      </c>
      <c r="K282" s="15">
        <v>0</v>
      </c>
      <c r="L282" s="15">
        <v>-2791.575045953191</v>
      </c>
      <c r="M282" s="15">
        <f t="shared" si="21"/>
        <v>-1252.723831966809</v>
      </c>
      <c r="N282" s="15">
        <v>0</v>
      </c>
      <c r="O282" s="15">
        <f t="shared" si="20"/>
        <v>0</v>
      </c>
      <c r="P282" s="36">
        <v>0</v>
      </c>
      <c r="Q282" s="15">
        <f t="shared" si="22"/>
        <v>0</v>
      </c>
      <c r="R282" s="36"/>
      <c r="S282" s="15"/>
    </row>
    <row r="283" spans="1:19" x14ac:dyDescent="0.25">
      <c r="A283" s="16" t="s">
        <v>37</v>
      </c>
      <c r="B283" s="16" t="s">
        <v>214</v>
      </c>
      <c r="C283" s="16" t="s">
        <v>218</v>
      </c>
      <c r="D283" s="16" t="s">
        <v>242</v>
      </c>
      <c r="E283" s="16" t="s">
        <v>243</v>
      </c>
      <c r="F283" s="16" t="s">
        <v>85</v>
      </c>
      <c r="G283" s="16" t="s">
        <v>40</v>
      </c>
      <c r="H283" s="16" t="s">
        <v>62</v>
      </c>
      <c r="I283" s="16" t="s">
        <v>63</v>
      </c>
      <c r="J283" s="15">
        <v>-3546.7200000000003</v>
      </c>
      <c r="K283" s="15">
        <v>-3546.7200000000003</v>
      </c>
      <c r="L283" s="15">
        <v>-3546.7199951999996</v>
      </c>
      <c r="M283" s="15">
        <f t="shared" si="21"/>
        <v>-4.8000006245274562E-6</v>
      </c>
      <c r="N283" s="15">
        <v>0</v>
      </c>
      <c r="O283" s="15">
        <f t="shared" si="20"/>
        <v>0</v>
      </c>
      <c r="P283" s="36">
        <v>0</v>
      </c>
      <c r="Q283" s="15">
        <f t="shared" si="22"/>
        <v>0</v>
      </c>
      <c r="R283" s="36"/>
      <c r="S283" s="15"/>
    </row>
    <row r="284" spans="1:19" x14ac:dyDescent="0.25">
      <c r="A284" s="16"/>
      <c r="B284" s="16"/>
      <c r="C284" s="16"/>
      <c r="D284" s="16"/>
      <c r="E284" s="16"/>
      <c r="F284" s="16"/>
      <c r="G284" s="16"/>
      <c r="H284" s="16"/>
      <c r="I284" s="16"/>
      <c r="J284" s="15"/>
      <c r="K284" s="15"/>
      <c r="L284" s="15"/>
      <c r="M284" s="15"/>
      <c r="N284" s="15"/>
      <c r="O284" s="15"/>
      <c r="P284" s="36"/>
      <c r="Q284" s="15"/>
      <c r="R284" s="36"/>
      <c r="S284" s="15"/>
    </row>
    <row r="285" spans="1:19" x14ac:dyDescent="0.25">
      <c r="A285" s="16"/>
      <c r="B285" s="16"/>
      <c r="C285" s="16"/>
      <c r="D285" s="16"/>
      <c r="E285" s="16"/>
      <c r="F285" s="16"/>
      <c r="G285" s="16"/>
      <c r="H285" s="16"/>
      <c r="I285" s="16"/>
      <c r="J285" s="15"/>
      <c r="K285" s="15"/>
      <c r="L285" s="15"/>
      <c r="M285" s="15"/>
      <c r="N285" s="15"/>
      <c r="O285" s="15"/>
      <c r="P285" s="36"/>
      <c r="Q285" s="15"/>
      <c r="R285" s="36"/>
      <c r="S285" s="15"/>
    </row>
    <row r="286" spans="1:19" x14ac:dyDescent="0.25">
      <c r="A286" s="16"/>
      <c r="B286" s="16"/>
      <c r="C286" s="16"/>
      <c r="D286" s="16"/>
      <c r="E286" s="16"/>
      <c r="F286" s="16"/>
      <c r="G286" s="16"/>
      <c r="H286" s="16"/>
      <c r="I286" s="16"/>
      <c r="J286" s="15"/>
      <c r="K286" s="15"/>
      <c r="L286" s="15"/>
      <c r="M286" s="15"/>
      <c r="N286" s="15"/>
      <c r="O286" s="15"/>
      <c r="P286" s="36"/>
      <c r="Q286" s="15"/>
      <c r="R286" s="36"/>
      <c r="S286" s="15"/>
    </row>
    <row r="287" spans="1:19" x14ac:dyDescent="0.25">
      <c r="A287" s="16"/>
      <c r="B287" s="16"/>
      <c r="C287" s="16"/>
      <c r="D287" s="16"/>
      <c r="E287" s="16"/>
      <c r="F287" s="16"/>
      <c r="G287" s="16"/>
      <c r="H287" s="16"/>
      <c r="I287" s="16"/>
      <c r="J287" s="15"/>
      <c r="K287" s="15"/>
      <c r="L287" s="15"/>
      <c r="M287" s="15"/>
      <c r="N287" s="15"/>
      <c r="O287" s="15"/>
      <c r="P287" s="36"/>
      <c r="Q287" s="15"/>
      <c r="R287" s="36"/>
      <c r="S287" s="15"/>
    </row>
    <row r="288" spans="1:19" x14ac:dyDescent="0.25">
      <c r="A288" s="16"/>
      <c r="B288" s="16"/>
      <c r="C288" s="16"/>
      <c r="D288" s="16"/>
      <c r="E288" s="16"/>
      <c r="F288" s="16"/>
      <c r="G288" s="16"/>
      <c r="H288" s="16"/>
      <c r="I288" s="16"/>
      <c r="J288" s="15"/>
      <c r="K288" s="15"/>
      <c r="L288" s="15"/>
      <c r="M288" s="15"/>
      <c r="N288" s="15"/>
      <c r="O288" s="15"/>
      <c r="P288" s="36"/>
      <c r="Q288" s="15"/>
      <c r="R288" s="36"/>
      <c r="S288" s="15"/>
    </row>
    <row r="289" spans="1:19" x14ac:dyDescent="0.25">
      <c r="A289" s="16"/>
      <c r="B289" s="16"/>
      <c r="C289" s="16"/>
      <c r="D289" s="16"/>
      <c r="E289" s="16"/>
      <c r="F289" s="16"/>
      <c r="G289" s="16"/>
      <c r="H289" s="16"/>
      <c r="I289" s="16"/>
      <c r="J289" s="15"/>
      <c r="K289" s="15"/>
      <c r="L289" s="15"/>
      <c r="M289" s="15"/>
      <c r="N289" s="15"/>
      <c r="O289" s="15"/>
      <c r="P289" s="36"/>
      <c r="Q289" s="15"/>
      <c r="R289" s="36"/>
      <c r="S289" s="15"/>
    </row>
    <row r="290" spans="1:19" x14ac:dyDescent="0.25">
      <c r="A290" s="16"/>
      <c r="B290" s="16"/>
      <c r="C290" s="16"/>
      <c r="D290" s="16"/>
      <c r="E290" s="16"/>
      <c r="F290" s="16"/>
      <c r="G290" s="16"/>
      <c r="H290" s="16"/>
      <c r="I290" s="16"/>
      <c r="J290" s="15"/>
      <c r="K290" s="15"/>
      <c r="L290" s="15"/>
      <c r="M290" s="15"/>
      <c r="N290" s="15"/>
      <c r="O290" s="15"/>
      <c r="P290" s="36"/>
      <c r="Q290" s="15"/>
      <c r="R290" s="36"/>
      <c r="S290" s="15"/>
    </row>
    <row r="291" spans="1:19" x14ac:dyDescent="0.25">
      <c r="A291" s="16"/>
      <c r="B291" s="16"/>
      <c r="C291" s="16"/>
      <c r="D291" s="16"/>
      <c r="E291" s="16"/>
      <c r="F291" s="16"/>
      <c r="G291" s="16"/>
      <c r="H291" s="16"/>
      <c r="I291" s="16"/>
      <c r="J291" s="15"/>
      <c r="K291" s="15"/>
      <c r="L291" s="15"/>
      <c r="M291" s="15"/>
      <c r="N291" s="15"/>
      <c r="O291" s="15"/>
      <c r="P291" s="36"/>
      <c r="Q291" s="15"/>
      <c r="R291" s="36"/>
      <c r="S291" s="15"/>
    </row>
    <row r="292" spans="1:19" x14ac:dyDescent="0.25">
      <c r="A292" s="16"/>
      <c r="B292" s="16"/>
      <c r="C292" s="16"/>
      <c r="D292" s="16"/>
      <c r="E292" s="16"/>
      <c r="F292" s="16"/>
      <c r="G292" s="16"/>
      <c r="H292" s="16"/>
      <c r="I292" s="16"/>
      <c r="J292" s="15"/>
      <c r="K292" s="15"/>
      <c r="L292" s="15"/>
      <c r="M292" s="15"/>
      <c r="N292" s="15"/>
      <c r="O292" s="15"/>
      <c r="P292" s="36"/>
      <c r="Q292" s="15"/>
      <c r="R292" s="36"/>
      <c r="S292" s="15"/>
    </row>
    <row r="293" spans="1:19" x14ac:dyDescent="0.25">
      <c r="A293" s="16"/>
      <c r="B293" s="16"/>
      <c r="C293" s="16"/>
      <c r="D293" s="16"/>
      <c r="E293" s="16"/>
      <c r="F293" s="16"/>
      <c r="G293" s="16"/>
      <c r="H293" s="16"/>
      <c r="I293" s="16"/>
      <c r="J293" s="15"/>
      <c r="K293" s="15"/>
      <c r="L293" s="15"/>
      <c r="M293" s="15"/>
      <c r="N293" s="15"/>
      <c r="O293" s="15"/>
      <c r="P293" s="36"/>
      <c r="Q293" s="15"/>
      <c r="R293" s="36"/>
      <c r="S293" s="15"/>
    </row>
    <row r="294" spans="1:19" x14ac:dyDescent="0.25">
      <c r="A294" s="16"/>
      <c r="B294" s="16"/>
      <c r="C294" s="16"/>
      <c r="D294" s="16"/>
      <c r="E294" s="16"/>
      <c r="F294" s="16"/>
      <c r="G294" s="16"/>
      <c r="H294" s="16"/>
      <c r="I294" s="16"/>
      <c r="J294" s="15"/>
      <c r="K294" s="15"/>
      <c r="L294" s="15"/>
      <c r="M294" s="15"/>
      <c r="N294" s="15"/>
      <c r="O294" s="15"/>
      <c r="P294" s="36"/>
      <c r="Q294" s="15"/>
      <c r="R294" s="36"/>
      <c r="S294" s="15"/>
    </row>
    <row r="295" spans="1:19" x14ac:dyDescent="0.25">
      <c r="A295" s="16"/>
      <c r="B295" s="16"/>
      <c r="C295" s="16"/>
      <c r="D295" s="16"/>
      <c r="E295" s="16"/>
      <c r="F295" s="16"/>
      <c r="G295" s="16"/>
      <c r="H295" s="16"/>
      <c r="I295" s="16"/>
      <c r="J295" s="15"/>
      <c r="K295" s="15"/>
      <c r="L295" s="15"/>
      <c r="M295" s="15"/>
      <c r="N295" s="15"/>
      <c r="O295" s="15"/>
      <c r="P295" s="36"/>
      <c r="Q295" s="15"/>
      <c r="R295" s="36"/>
      <c r="S295" s="15"/>
    </row>
    <row r="296" spans="1:19" x14ac:dyDescent="0.25">
      <c r="A296" s="16"/>
      <c r="B296" s="16"/>
      <c r="C296" s="16"/>
      <c r="D296" s="16"/>
      <c r="E296" s="16"/>
      <c r="F296" s="16"/>
      <c r="G296" s="16"/>
      <c r="H296" s="16"/>
      <c r="I296" s="16"/>
      <c r="J296" s="15"/>
      <c r="K296" s="15"/>
      <c r="L296" s="15"/>
      <c r="M296" s="15"/>
      <c r="N296" s="15"/>
      <c r="O296" s="15"/>
      <c r="P296" s="36"/>
      <c r="Q296" s="15"/>
      <c r="R296" s="36"/>
      <c r="S296" s="15"/>
    </row>
    <row r="297" spans="1:19" x14ac:dyDescent="0.25">
      <c r="A297" s="16"/>
      <c r="B297" s="16"/>
      <c r="C297" s="16"/>
      <c r="D297" s="16"/>
      <c r="E297" s="16"/>
      <c r="F297" s="16"/>
      <c r="G297" s="16"/>
      <c r="H297" s="16"/>
      <c r="I297" s="16"/>
      <c r="J297" s="15"/>
      <c r="K297" s="15"/>
      <c r="L297" s="15"/>
      <c r="M297" s="15"/>
      <c r="N297" s="15"/>
      <c r="O297" s="15"/>
      <c r="P297" s="36"/>
      <c r="Q297" s="15"/>
      <c r="R297" s="36"/>
      <c r="S297" s="15"/>
    </row>
    <row r="298" spans="1:19" x14ac:dyDescent="0.25">
      <c r="A298" s="16"/>
      <c r="B298" s="16"/>
      <c r="C298" s="16"/>
      <c r="D298" s="16"/>
      <c r="E298" s="16"/>
      <c r="F298" s="16"/>
      <c r="G298" s="16"/>
      <c r="H298" s="16"/>
      <c r="I298" s="16"/>
      <c r="J298" s="15"/>
      <c r="K298" s="15"/>
      <c r="L298" s="15"/>
      <c r="M298" s="15"/>
      <c r="N298" s="15"/>
      <c r="O298" s="15"/>
      <c r="P298" s="36"/>
      <c r="Q298" s="15"/>
      <c r="R298" s="36"/>
      <c r="S298" s="15"/>
    </row>
    <row r="299" spans="1:19" x14ac:dyDescent="0.25">
      <c r="A299" s="16"/>
      <c r="B299" s="16"/>
      <c r="C299" s="16"/>
      <c r="D299" s="16"/>
      <c r="E299" s="16"/>
      <c r="F299" s="16"/>
      <c r="G299" s="16"/>
      <c r="H299" s="16"/>
      <c r="I299" s="16"/>
      <c r="J299" s="15"/>
      <c r="K299" s="15"/>
      <c r="L299" s="15"/>
      <c r="M299" s="15"/>
      <c r="N299" s="15"/>
      <c r="O299" s="15"/>
      <c r="P299" s="36"/>
      <c r="Q299" s="15"/>
      <c r="R299" s="36"/>
      <c r="S299" s="15"/>
    </row>
    <row r="300" spans="1:19" x14ac:dyDescent="0.25">
      <c r="A300" s="16"/>
      <c r="B300" s="16"/>
      <c r="C300" s="16"/>
      <c r="D300" s="16"/>
      <c r="E300" s="16"/>
      <c r="F300" s="16"/>
      <c r="G300" s="16"/>
      <c r="H300" s="16"/>
      <c r="I300" s="16"/>
      <c r="J300" s="15"/>
      <c r="K300" s="15"/>
      <c r="L300" s="15"/>
      <c r="M300" s="15"/>
      <c r="N300" s="15"/>
      <c r="O300" s="15"/>
      <c r="P300" s="36"/>
      <c r="Q300" s="15"/>
      <c r="R300" s="36"/>
      <c r="S300" s="15"/>
    </row>
    <row r="301" spans="1:19" x14ac:dyDescent="0.25">
      <c r="A301" s="16"/>
      <c r="B301" s="16"/>
      <c r="C301" s="16"/>
      <c r="D301" s="16"/>
      <c r="E301" s="16"/>
      <c r="F301" s="16"/>
      <c r="G301" s="16"/>
      <c r="H301" s="16"/>
      <c r="I301" s="16"/>
      <c r="J301" s="15"/>
      <c r="K301" s="15"/>
      <c r="L301" s="15"/>
      <c r="M301" s="15"/>
      <c r="N301" s="15"/>
      <c r="O301" s="15"/>
      <c r="P301" s="36"/>
      <c r="Q301" s="15"/>
      <c r="R301" s="36"/>
      <c r="S301" s="15"/>
    </row>
    <row r="302" spans="1:19" x14ac:dyDescent="0.25">
      <c r="A302" s="16"/>
      <c r="B302" s="16"/>
      <c r="C302" s="16"/>
      <c r="D302" s="16"/>
      <c r="E302" s="16"/>
      <c r="F302" s="16"/>
      <c r="G302" s="16"/>
      <c r="H302" s="16"/>
      <c r="I302" s="16"/>
      <c r="J302" s="15"/>
      <c r="K302" s="15"/>
      <c r="L302" s="15"/>
      <c r="M302" s="15"/>
      <c r="N302" s="15"/>
      <c r="O302" s="15"/>
      <c r="P302" s="36"/>
      <c r="Q302" s="15"/>
      <c r="R302" s="36"/>
      <c r="S302" s="15"/>
    </row>
    <row r="303" spans="1:19" x14ac:dyDescent="0.25">
      <c r="A303" s="16"/>
      <c r="B303" s="16"/>
      <c r="C303" s="16"/>
      <c r="D303" s="16"/>
      <c r="E303" s="16"/>
      <c r="F303" s="16"/>
      <c r="G303" s="16"/>
      <c r="H303" s="16"/>
      <c r="I303" s="16"/>
      <c r="J303" s="15"/>
      <c r="K303" s="15"/>
      <c r="L303" s="15"/>
      <c r="M303" s="15"/>
      <c r="N303" s="15"/>
      <c r="O303" s="15"/>
      <c r="P303" s="36"/>
      <c r="Q303" s="15"/>
      <c r="R303" s="36"/>
      <c r="S303" s="15"/>
    </row>
    <row r="304" spans="1:19" x14ac:dyDescent="0.25">
      <c r="A304" s="16"/>
      <c r="B304" s="16"/>
      <c r="C304" s="16"/>
      <c r="D304" s="16"/>
      <c r="E304" s="16"/>
      <c r="F304" s="16"/>
      <c r="G304" s="16"/>
      <c r="H304" s="16"/>
      <c r="I304" s="16"/>
      <c r="J304" s="15"/>
      <c r="K304" s="15"/>
      <c r="L304" s="15"/>
      <c r="M304" s="15"/>
      <c r="N304" s="15"/>
      <c r="O304" s="15"/>
      <c r="P304" s="36"/>
      <c r="Q304" s="15"/>
      <c r="R304" s="36"/>
      <c r="S304" s="15"/>
    </row>
    <row r="305" spans="1:19" x14ac:dyDescent="0.25">
      <c r="A305" s="16"/>
      <c r="B305" s="16"/>
      <c r="C305" s="16"/>
      <c r="D305" s="16"/>
      <c r="E305" s="16"/>
      <c r="F305" s="16"/>
      <c r="G305" s="16"/>
      <c r="H305" s="16"/>
      <c r="I305" s="16"/>
      <c r="J305" s="15"/>
      <c r="K305" s="15"/>
      <c r="L305" s="15"/>
      <c r="M305" s="15"/>
      <c r="N305" s="15"/>
      <c r="O305" s="15"/>
      <c r="P305" s="36"/>
      <c r="Q305" s="15"/>
      <c r="R305" s="36"/>
      <c r="S305" s="15"/>
    </row>
    <row r="306" spans="1:19" x14ac:dyDescent="0.25">
      <c r="A306" s="16"/>
      <c r="B306" s="16"/>
      <c r="C306" s="16"/>
      <c r="D306" s="16"/>
      <c r="E306" s="16"/>
      <c r="F306" s="16"/>
      <c r="G306" s="16"/>
      <c r="H306" s="16"/>
      <c r="I306" s="16"/>
      <c r="J306" s="15"/>
      <c r="K306" s="15"/>
      <c r="L306" s="15"/>
      <c r="M306" s="15"/>
      <c r="N306" s="15"/>
      <c r="O306" s="15"/>
      <c r="P306" s="36"/>
      <c r="Q306" s="15"/>
      <c r="R306" s="36"/>
      <c r="S306" s="15"/>
    </row>
    <row r="307" spans="1:19" x14ac:dyDescent="0.25">
      <c r="A307" s="16"/>
      <c r="B307" s="16"/>
      <c r="C307" s="16"/>
      <c r="D307" s="16"/>
      <c r="E307" s="16"/>
      <c r="F307" s="16"/>
      <c r="G307" s="16"/>
      <c r="H307" s="16"/>
      <c r="I307" s="16"/>
      <c r="J307" s="15"/>
      <c r="K307" s="15"/>
      <c r="L307" s="15"/>
      <c r="M307" s="15"/>
      <c r="N307" s="15"/>
      <c r="O307" s="15"/>
      <c r="P307" s="36"/>
      <c r="Q307" s="15"/>
      <c r="R307" s="36"/>
      <c r="S307" s="15"/>
    </row>
    <row r="308" spans="1:19" x14ac:dyDescent="0.25">
      <c r="A308" s="16"/>
      <c r="B308" s="16"/>
      <c r="C308" s="16"/>
      <c r="D308" s="16"/>
      <c r="E308" s="16"/>
      <c r="F308" s="16"/>
      <c r="G308" s="16"/>
      <c r="H308" s="16"/>
      <c r="I308" s="16"/>
      <c r="J308" s="15"/>
      <c r="K308" s="15"/>
      <c r="L308" s="15"/>
      <c r="M308" s="15"/>
      <c r="N308" s="15"/>
      <c r="O308" s="15"/>
      <c r="P308" s="36"/>
      <c r="Q308" s="15"/>
      <c r="R308" s="36"/>
      <c r="S308" s="15"/>
    </row>
    <row r="309" spans="1:19" x14ac:dyDescent="0.25">
      <c r="A309" s="16"/>
      <c r="B309" s="16"/>
      <c r="C309" s="16"/>
      <c r="D309" s="16"/>
      <c r="E309" s="16"/>
      <c r="F309" s="16"/>
      <c r="G309" s="16"/>
      <c r="H309" s="16"/>
      <c r="I309" s="16"/>
      <c r="J309" s="15"/>
      <c r="K309" s="15"/>
      <c r="L309" s="15"/>
      <c r="M309" s="15"/>
      <c r="N309" s="15"/>
      <c r="O309" s="15"/>
      <c r="P309" s="36"/>
      <c r="Q309" s="15"/>
      <c r="R309" s="36"/>
      <c r="S309" s="15"/>
    </row>
    <row r="310" spans="1:19" x14ac:dyDescent="0.25">
      <c r="A310" s="16"/>
      <c r="B310" s="16"/>
      <c r="C310" s="16"/>
      <c r="D310" s="16"/>
      <c r="E310" s="16"/>
      <c r="F310" s="16"/>
      <c r="G310" s="16"/>
      <c r="H310" s="16"/>
      <c r="I310" s="16"/>
      <c r="J310" s="15"/>
      <c r="K310" s="15"/>
      <c r="L310" s="15"/>
      <c r="M310" s="15"/>
      <c r="N310" s="15"/>
      <c r="O310" s="15"/>
      <c r="P310" s="36"/>
      <c r="Q310" s="15"/>
      <c r="R310" s="36"/>
      <c r="S310" s="15"/>
    </row>
    <row r="311" spans="1:19" x14ac:dyDescent="0.25">
      <c r="A311" s="16"/>
      <c r="B311" s="16"/>
      <c r="C311" s="16"/>
      <c r="D311" s="16"/>
      <c r="E311" s="16"/>
      <c r="F311" s="16"/>
      <c r="G311" s="16"/>
      <c r="H311" s="16"/>
      <c r="I311" s="16"/>
      <c r="J311" s="15"/>
      <c r="K311" s="15"/>
      <c r="L311" s="15"/>
      <c r="M311" s="15"/>
      <c r="N311" s="15"/>
      <c r="O311" s="15"/>
      <c r="P311" s="36"/>
      <c r="Q311" s="15"/>
      <c r="R311" s="36"/>
      <c r="S311" s="15"/>
    </row>
    <row r="312" spans="1:19" x14ac:dyDescent="0.25">
      <c r="A312" s="16"/>
      <c r="B312" s="16"/>
      <c r="C312" s="16"/>
      <c r="D312" s="16"/>
      <c r="E312" s="16"/>
      <c r="F312" s="16"/>
      <c r="G312" s="16"/>
      <c r="H312" s="16"/>
      <c r="I312" s="16"/>
      <c r="J312" s="15"/>
      <c r="K312" s="15"/>
      <c r="L312" s="15"/>
      <c r="M312" s="15"/>
      <c r="N312" s="15"/>
      <c r="O312" s="15"/>
      <c r="P312" s="36"/>
      <c r="Q312" s="15"/>
      <c r="R312" s="36"/>
      <c r="S312" s="15"/>
    </row>
    <row r="313" spans="1:19" x14ac:dyDescent="0.25">
      <c r="A313" s="16"/>
      <c r="B313" s="16"/>
      <c r="C313" s="16"/>
      <c r="D313" s="16"/>
      <c r="E313" s="16"/>
      <c r="F313" s="16"/>
      <c r="G313" s="16"/>
      <c r="H313" s="16"/>
      <c r="I313" s="16"/>
      <c r="J313" s="15"/>
      <c r="K313" s="15"/>
      <c r="L313" s="15"/>
      <c r="M313" s="15"/>
      <c r="N313" s="15"/>
      <c r="O313" s="15"/>
      <c r="P313" s="36"/>
      <c r="Q313" s="15"/>
      <c r="R313" s="36"/>
      <c r="S313" s="15"/>
    </row>
    <row r="314" spans="1:19" x14ac:dyDescent="0.25">
      <c r="A314" s="16"/>
      <c r="B314" s="16"/>
      <c r="C314" s="16"/>
      <c r="D314" s="16"/>
      <c r="E314" s="16"/>
      <c r="F314" s="16"/>
      <c r="G314" s="16"/>
      <c r="H314" s="16"/>
      <c r="I314" s="16"/>
      <c r="J314" s="15"/>
      <c r="K314" s="15"/>
      <c r="L314" s="15"/>
      <c r="M314" s="15"/>
      <c r="N314" s="15"/>
      <c r="O314" s="15"/>
      <c r="P314" s="36"/>
      <c r="Q314" s="15"/>
      <c r="R314" s="36"/>
      <c r="S314" s="15"/>
    </row>
    <row r="315" spans="1:19" x14ac:dyDescent="0.25">
      <c r="A315" s="16"/>
      <c r="B315" s="16"/>
      <c r="C315" s="16"/>
      <c r="D315" s="16"/>
      <c r="E315" s="16"/>
      <c r="F315" s="16"/>
      <c r="G315" s="16"/>
      <c r="H315" s="16"/>
      <c r="I315" s="16"/>
      <c r="J315" s="15"/>
      <c r="K315" s="15"/>
      <c r="L315" s="15"/>
      <c r="M315" s="15"/>
      <c r="N315" s="15"/>
      <c r="O315" s="15"/>
      <c r="P315" s="36"/>
      <c r="Q315" s="15"/>
      <c r="R315" s="36"/>
      <c r="S315" s="15"/>
    </row>
    <row r="316" spans="1:19" x14ac:dyDescent="0.25">
      <c r="A316" s="16"/>
      <c r="B316" s="16"/>
      <c r="C316" s="16"/>
      <c r="D316" s="16"/>
      <c r="E316" s="16"/>
      <c r="F316" s="16"/>
      <c r="G316" s="16"/>
      <c r="H316" s="16"/>
      <c r="I316" s="16"/>
      <c r="J316" s="15"/>
      <c r="K316" s="15"/>
      <c r="L316" s="15"/>
      <c r="M316" s="15"/>
      <c r="N316" s="15"/>
      <c r="O316" s="15"/>
      <c r="P316" s="36"/>
      <c r="Q316" s="15"/>
      <c r="R316" s="36"/>
      <c r="S316" s="15"/>
    </row>
    <row r="317" spans="1:19" x14ac:dyDescent="0.25">
      <c r="A317" s="16"/>
      <c r="B317" s="16"/>
      <c r="C317" s="16"/>
      <c r="D317" s="16"/>
      <c r="E317" s="16"/>
      <c r="F317" s="16"/>
      <c r="G317" s="16"/>
      <c r="H317" s="16"/>
      <c r="I317" s="16"/>
      <c r="J317" s="15"/>
      <c r="K317" s="15"/>
      <c r="L317" s="15"/>
      <c r="M317" s="15"/>
      <c r="N317" s="15"/>
      <c r="O317" s="15"/>
      <c r="P317" s="36"/>
      <c r="Q317" s="15"/>
      <c r="R317" s="36"/>
      <c r="S317" s="15"/>
    </row>
    <row r="318" spans="1:19" x14ac:dyDescent="0.25">
      <c r="A318" s="16"/>
      <c r="B318" s="16"/>
      <c r="C318" s="16"/>
      <c r="D318" s="16"/>
      <c r="E318" s="16"/>
      <c r="F318" s="16"/>
      <c r="G318" s="16"/>
      <c r="H318" s="16"/>
      <c r="I318" s="16"/>
      <c r="J318" s="15"/>
      <c r="K318" s="15"/>
      <c r="L318" s="15"/>
      <c r="M318" s="15"/>
      <c r="N318" s="15"/>
      <c r="O318" s="15"/>
      <c r="P318" s="36"/>
      <c r="Q318" s="15"/>
      <c r="R318" s="36"/>
      <c r="S318" s="15"/>
    </row>
    <row r="319" spans="1:19" x14ac:dyDescent="0.25">
      <c r="A319" s="16"/>
      <c r="B319" s="16"/>
      <c r="C319" s="16"/>
      <c r="D319" s="16"/>
      <c r="E319" s="16"/>
      <c r="F319" s="16"/>
      <c r="G319" s="16"/>
      <c r="H319" s="16"/>
      <c r="I319" s="16"/>
      <c r="J319" s="15"/>
      <c r="K319" s="15"/>
      <c r="L319" s="15"/>
      <c r="M319" s="15"/>
      <c r="N319" s="18"/>
      <c r="O319" s="15"/>
      <c r="P319" s="36"/>
      <c r="Q319" s="15"/>
      <c r="R319" s="36"/>
      <c r="S319" s="15"/>
    </row>
    <row r="320" spans="1:19" x14ac:dyDescent="0.25">
      <c r="A320" s="16"/>
      <c r="B320" s="16"/>
      <c r="C320" s="16"/>
      <c r="D320" s="16"/>
      <c r="E320" s="16"/>
      <c r="F320" s="16"/>
      <c r="G320" s="16"/>
      <c r="H320" s="16"/>
      <c r="I320" s="16"/>
      <c r="J320" s="15"/>
      <c r="K320" s="15"/>
      <c r="L320" s="15"/>
      <c r="M320" s="15"/>
      <c r="N320" s="15"/>
      <c r="O320" s="15"/>
      <c r="P320" s="36"/>
      <c r="Q320" s="15"/>
      <c r="R320" s="36"/>
      <c r="S320" s="15"/>
    </row>
    <row r="321" spans="1:19" x14ac:dyDescent="0.25">
      <c r="A321" s="16"/>
      <c r="B321" s="16"/>
      <c r="C321" s="16"/>
      <c r="D321" s="16"/>
      <c r="E321" s="16"/>
      <c r="F321" s="16"/>
      <c r="G321" s="16"/>
      <c r="H321" s="16"/>
      <c r="I321" s="16"/>
      <c r="J321" s="15"/>
      <c r="K321" s="15"/>
      <c r="L321" s="15"/>
      <c r="M321" s="15"/>
      <c r="N321" s="15"/>
      <c r="O321" s="15"/>
      <c r="P321" s="36"/>
      <c r="Q321" s="15"/>
      <c r="R321" s="36"/>
      <c r="S321" s="15"/>
    </row>
    <row r="322" spans="1:19" x14ac:dyDescent="0.25">
      <c r="A322" s="16"/>
      <c r="B322" s="16"/>
      <c r="C322" s="16"/>
      <c r="D322" s="16"/>
      <c r="E322" s="16"/>
      <c r="F322" s="16"/>
      <c r="G322" s="16"/>
      <c r="H322" s="16"/>
      <c r="I322" s="16"/>
      <c r="J322" s="15"/>
      <c r="K322" s="15"/>
      <c r="L322" s="15"/>
      <c r="M322" s="15"/>
      <c r="N322" s="15"/>
      <c r="O322" s="15"/>
      <c r="P322" s="36"/>
      <c r="Q322" s="15"/>
      <c r="R322" s="36"/>
      <c r="S322" s="15"/>
    </row>
    <row r="323" spans="1:19" x14ac:dyDescent="0.25">
      <c r="A323" s="16"/>
      <c r="B323" s="16"/>
      <c r="C323" s="16"/>
      <c r="D323" s="16"/>
      <c r="E323" s="16"/>
      <c r="F323" s="16"/>
      <c r="G323" s="16"/>
      <c r="H323" s="16"/>
      <c r="I323" s="16"/>
      <c r="J323" s="15"/>
      <c r="K323" s="15"/>
      <c r="L323" s="15"/>
      <c r="M323" s="15"/>
      <c r="N323" s="15"/>
      <c r="O323" s="15"/>
      <c r="P323" s="36"/>
      <c r="Q323" s="15"/>
      <c r="R323" s="36"/>
      <c r="S323" s="15"/>
    </row>
    <row r="324" spans="1:19" x14ac:dyDescent="0.25">
      <c r="A324" s="16"/>
      <c r="B324" s="16"/>
      <c r="C324" s="16"/>
      <c r="D324" s="16"/>
      <c r="E324" s="16"/>
      <c r="F324" s="16"/>
      <c r="G324" s="16"/>
      <c r="H324" s="16"/>
      <c r="I324" s="16"/>
      <c r="J324" s="15"/>
      <c r="K324" s="15"/>
      <c r="L324" s="15"/>
      <c r="M324" s="15"/>
      <c r="N324" s="15"/>
      <c r="O324" s="15"/>
      <c r="P324" s="36"/>
      <c r="Q324" s="15"/>
      <c r="R324" s="36"/>
      <c r="S324" s="15"/>
    </row>
    <row r="325" spans="1:19" x14ac:dyDescent="0.25">
      <c r="A325" s="16"/>
      <c r="B325" s="16"/>
      <c r="C325" s="16"/>
      <c r="D325" s="16"/>
      <c r="E325" s="16"/>
      <c r="F325" s="16"/>
      <c r="G325" s="16"/>
      <c r="H325" s="16"/>
      <c r="I325" s="16"/>
      <c r="J325" s="15"/>
      <c r="K325" s="15"/>
      <c r="L325" s="15"/>
      <c r="M325" s="15"/>
      <c r="N325" s="15"/>
      <c r="O325" s="15"/>
      <c r="P325" s="36"/>
      <c r="Q325" s="15"/>
      <c r="R325" s="36"/>
      <c r="S325" s="15"/>
    </row>
    <row r="326" spans="1:19" x14ac:dyDescent="0.25">
      <c r="A326" s="16"/>
      <c r="B326" s="16"/>
      <c r="C326" s="16"/>
      <c r="D326" s="16"/>
      <c r="E326" s="16"/>
      <c r="F326" s="16"/>
      <c r="G326" s="16"/>
      <c r="H326" s="16"/>
      <c r="I326" s="16"/>
      <c r="J326" s="15"/>
      <c r="K326" s="15"/>
      <c r="L326" s="15"/>
      <c r="M326" s="15"/>
      <c r="N326" s="15"/>
      <c r="O326" s="15"/>
      <c r="P326" s="36"/>
      <c r="Q326" s="15"/>
      <c r="R326" s="36"/>
      <c r="S326" s="15"/>
    </row>
    <row r="327" spans="1:19" x14ac:dyDescent="0.25">
      <c r="A327" s="16"/>
      <c r="B327" s="16"/>
      <c r="C327" s="16"/>
      <c r="D327" s="16"/>
      <c r="E327" s="16"/>
      <c r="F327" s="16"/>
      <c r="G327" s="16"/>
      <c r="H327" s="16"/>
      <c r="I327" s="16"/>
      <c r="J327" s="15"/>
      <c r="K327" s="15"/>
      <c r="L327" s="15"/>
      <c r="M327" s="15"/>
      <c r="N327" s="15"/>
      <c r="O327" s="15"/>
      <c r="P327" s="36"/>
      <c r="Q327" s="15"/>
      <c r="R327" s="36"/>
      <c r="S327" s="15"/>
    </row>
    <row r="328" spans="1:19" x14ac:dyDescent="0.25">
      <c r="A328" s="16"/>
      <c r="B328" s="16"/>
      <c r="C328" s="16"/>
      <c r="D328" s="16"/>
      <c r="E328" s="16"/>
      <c r="F328" s="16"/>
      <c r="G328" s="16"/>
      <c r="H328" s="16"/>
      <c r="I328" s="16"/>
      <c r="J328" s="15"/>
      <c r="K328" s="15"/>
      <c r="L328" s="15"/>
      <c r="M328" s="15"/>
      <c r="N328" s="15"/>
      <c r="O328" s="15"/>
      <c r="P328" s="36"/>
      <c r="Q328" s="15"/>
      <c r="R328" s="36"/>
      <c r="S328" s="15"/>
    </row>
    <row r="329" spans="1:19" x14ac:dyDescent="0.25">
      <c r="A329" s="16"/>
      <c r="B329" s="16"/>
      <c r="C329" s="16"/>
      <c r="D329" s="16"/>
      <c r="E329" s="16"/>
      <c r="F329" s="16"/>
      <c r="G329" s="16"/>
      <c r="H329" s="16"/>
      <c r="I329" s="16"/>
      <c r="J329" s="15"/>
      <c r="K329" s="15"/>
      <c r="L329" s="15"/>
      <c r="M329" s="15"/>
      <c r="N329" s="15"/>
      <c r="O329" s="15"/>
      <c r="P329" s="36"/>
      <c r="Q329" s="15"/>
      <c r="R329" s="36"/>
      <c r="S329" s="15"/>
    </row>
    <row r="330" spans="1:19" x14ac:dyDescent="0.25">
      <c r="A330" s="16"/>
      <c r="B330" s="16"/>
      <c r="C330" s="16"/>
      <c r="D330" s="16"/>
      <c r="E330" s="16"/>
      <c r="F330" s="16"/>
      <c r="G330" s="16"/>
      <c r="H330" s="16"/>
      <c r="I330" s="16"/>
      <c r="J330" s="15"/>
      <c r="K330" s="15"/>
      <c r="L330" s="15"/>
      <c r="M330" s="15"/>
      <c r="N330" s="15"/>
      <c r="O330" s="15"/>
      <c r="P330" s="36"/>
      <c r="Q330" s="15"/>
      <c r="R330" s="36"/>
      <c r="S330" s="15"/>
    </row>
    <row r="331" spans="1:19" x14ac:dyDescent="0.25">
      <c r="A331" s="16"/>
      <c r="B331" s="16"/>
      <c r="C331" s="16"/>
      <c r="D331" s="16"/>
      <c r="E331" s="16"/>
      <c r="F331" s="16"/>
      <c r="G331" s="16"/>
      <c r="H331" s="16"/>
      <c r="I331" s="16"/>
      <c r="J331" s="15"/>
      <c r="K331" s="15"/>
      <c r="L331" s="15"/>
      <c r="M331" s="15"/>
      <c r="N331" s="15"/>
      <c r="O331" s="15"/>
      <c r="P331" s="36"/>
      <c r="Q331" s="15"/>
      <c r="R331" s="36"/>
      <c r="S331" s="15"/>
    </row>
    <row r="332" spans="1:19" x14ac:dyDescent="0.25">
      <c r="A332" s="16"/>
      <c r="B332" s="16"/>
      <c r="C332" s="16"/>
      <c r="D332" s="16"/>
      <c r="E332" s="16"/>
      <c r="F332" s="16"/>
      <c r="G332" s="16"/>
      <c r="H332" s="16"/>
      <c r="I332" s="16"/>
      <c r="J332" s="15"/>
      <c r="K332" s="15"/>
      <c r="L332" s="15"/>
      <c r="M332" s="15"/>
      <c r="N332" s="15"/>
      <c r="O332" s="15"/>
      <c r="P332" s="36"/>
      <c r="Q332" s="15"/>
      <c r="R332" s="36"/>
      <c r="S332" s="15"/>
    </row>
    <row r="333" spans="1:19" x14ac:dyDescent="0.25">
      <c r="A333" s="16"/>
      <c r="B333" s="16"/>
      <c r="C333" s="16"/>
      <c r="D333" s="16"/>
      <c r="E333" s="16"/>
      <c r="F333" s="16"/>
      <c r="G333" s="16"/>
      <c r="H333" s="16"/>
      <c r="I333" s="16"/>
      <c r="J333" s="15"/>
      <c r="K333" s="15"/>
      <c r="L333" s="15"/>
      <c r="M333" s="15"/>
      <c r="N333" s="15"/>
      <c r="O333" s="15"/>
      <c r="P333" s="36"/>
      <c r="Q333" s="15"/>
      <c r="R333" s="36"/>
      <c r="S333" s="15"/>
    </row>
    <row r="334" spans="1:19" x14ac:dyDescent="0.25">
      <c r="A334" s="16"/>
      <c r="B334" s="16"/>
      <c r="C334" s="16"/>
      <c r="D334" s="16"/>
      <c r="E334" s="16"/>
      <c r="F334" s="16"/>
      <c r="G334" s="16"/>
      <c r="H334" s="16"/>
      <c r="I334" s="16"/>
      <c r="J334" s="15"/>
      <c r="K334" s="15"/>
      <c r="L334" s="15"/>
      <c r="M334" s="15"/>
      <c r="N334" s="15"/>
      <c r="O334" s="15"/>
      <c r="P334" s="36"/>
      <c r="Q334" s="15"/>
      <c r="R334" s="36"/>
      <c r="S334" s="15"/>
    </row>
    <row r="335" spans="1:19" x14ac:dyDescent="0.25">
      <c r="A335" s="16"/>
      <c r="B335" s="16"/>
      <c r="C335" s="16"/>
      <c r="D335" s="16"/>
      <c r="E335" s="16"/>
      <c r="F335" s="16"/>
      <c r="G335" s="16"/>
      <c r="H335" s="16"/>
      <c r="I335" s="16"/>
      <c r="J335" s="15"/>
      <c r="K335" s="15"/>
      <c r="L335" s="15"/>
      <c r="M335" s="15"/>
      <c r="N335" s="15"/>
      <c r="O335" s="15"/>
      <c r="P335" s="36"/>
      <c r="Q335" s="15"/>
      <c r="R335" s="36"/>
      <c r="S335" s="15"/>
    </row>
    <row r="336" spans="1:19" x14ac:dyDescent="0.25">
      <c r="A336" s="16"/>
      <c r="B336" s="16"/>
      <c r="C336" s="16"/>
      <c r="D336" s="16"/>
      <c r="E336" s="16"/>
      <c r="F336" s="16"/>
      <c r="G336" s="16"/>
      <c r="H336" s="16"/>
      <c r="I336" s="16"/>
      <c r="J336" s="15"/>
      <c r="K336" s="15"/>
      <c r="L336" s="15"/>
      <c r="M336" s="15"/>
      <c r="N336" s="15"/>
      <c r="O336" s="15"/>
      <c r="P336" s="36"/>
      <c r="Q336" s="15"/>
      <c r="R336" s="36"/>
      <c r="S336" s="15"/>
    </row>
    <row r="337" spans="1:19" x14ac:dyDescent="0.25">
      <c r="A337" s="16"/>
      <c r="B337" s="16"/>
      <c r="C337" s="16"/>
      <c r="D337" s="16"/>
      <c r="E337" s="16"/>
      <c r="F337" s="16"/>
      <c r="G337" s="16"/>
      <c r="H337" s="16"/>
      <c r="I337" s="16"/>
      <c r="J337" s="15"/>
      <c r="K337" s="15"/>
      <c r="L337" s="15"/>
      <c r="M337" s="15"/>
      <c r="N337" s="15"/>
      <c r="O337" s="15"/>
      <c r="P337" s="36"/>
      <c r="Q337" s="15"/>
      <c r="R337" s="36"/>
      <c r="S337" s="15"/>
    </row>
    <row r="338" spans="1:19" x14ac:dyDescent="0.25">
      <c r="O338" s="15"/>
      <c r="P338" s="36"/>
      <c r="Q338" s="15"/>
      <c r="R338" s="36"/>
      <c r="S338" s="15"/>
    </row>
    <row r="339" spans="1:19" x14ac:dyDescent="0.25">
      <c r="R339" s="36"/>
    </row>
    <row r="343" spans="1:19" x14ac:dyDescent="0.25">
      <c r="A343" s="1" t="s">
        <v>244</v>
      </c>
    </row>
    <row r="344" spans="1:19" x14ac:dyDescent="0.25">
      <c r="A344" s="2" t="s">
        <v>245</v>
      </c>
    </row>
    <row r="345" spans="1:19" x14ac:dyDescent="0.25">
      <c r="A345" s="2" t="s">
        <v>246</v>
      </c>
    </row>
    <row r="346" spans="1:19" x14ac:dyDescent="0.25">
      <c r="A346" s="2" t="s">
        <v>247</v>
      </c>
    </row>
    <row r="347" spans="1:19" x14ac:dyDescent="0.25">
      <c r="A347" s="2" t="s">
        <v>248</v>
      </c>
    </row>
    <row r="348" spans="1:19" x14ac:dyDescent="0.25">
      <c r="A348" s="2" t="s">
        <v>249</v>
      </c>
    </row>
    <row r="349" spans="1:19" x14ac:dyDescent="0.25">
      <c r="A349" s="2" t="s">
        <v>250</v>
      </c>
    </row>
    <row r="350" spans="1:19" x14ac:dyDescent="0.25">
      <c r="A350" s="2" t="s">
        <v>251</v>
      </c>
    </row>
    <row r="351" spans="1:19" x14ac:dyDescent="0.25">
      <c r="A351" s="17" t="s">
        <v>252</v>
      </c>
    </row>
    <row r="352" spans="1:19" x14ac:dyDescent="0.25">
      <c r="A352" s="19" t="s">
        <v>253</v>
      </c>
    </row>
    <row r="353" spans="1:1" x14ac:dyDescent="0.25">
      <c r="A353" s="19" t="s">
        <v>253</v>
      </c>
    </row>
    <row r="354" spans="1:1" x14ac:dyDescent="0.25">
      <c r="A354" s="19" t="s">
        <v>254</v>
      </c>
    </row>
  </sheetData>
  <autoFilter ref="A7:S337" xr:uid="{ECBFDD54-6841-4AE5-91FB-10B62E2660DC}"/>
  <mergeCells count="3">
    <mergeCell ref="J6:N6"/>
    <mergeCell ref="O6:Q6"/>
    <mergeCell ref="R6:S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10337-C793-4017-A7EE-FCD914F5D91C}">
  <dimension ref="A1:W538"/>
  <sheetViews>
    <sheetView zoomScaleNormal="100" workbookViewId="0">
      <selection activeCell="J7" sqref="J7"/>
    </sheetView>
  </sheetViews>
  <sheetFormatPr defaultRowHeight="15" x14ac:dyDescent="0.25"/>
  <cols>
    <col min="1" max="1" width="11.140625" customWidth="1"/>
    <col min="2" max="2" width="8.140625" customWidth="1"/>
    <col min="3" max="3" width="21.85546875" customWidth="1"/>
    <col min="4" max="4" width="15.140625" customWidth="1"/>
    <col min="5" max="5" width="11.7109375" customWidth="1"/>
    <col min="6" max="6" width="12.42578125" customWidth="1"/>
    <col min="7" max="7" width="38" customWidth="1"/>
    <col min="8" max="8" width="21" customWidth="1"/>
    <col min="9" max="9" width="9" customWidth="1"/>
    <col min="10" max="10" width="15" style="16" customWidth="1"/>
    <col min="11" max="11" width="15.28515625" customWidth="1"/>
    <col min="12" max="12" width="16" style="4" customWidth="1"/>
    <col min="13" max="13" width="13.140625" style="4" customWidth="1"/>
    <col min="14" max="15" width="14.140625" style="4" customWidth="1"/>
    <col min="16" max="16" width="13" style="4" customWidth="1"/>
    <col min="17" max="17" width="13.140625" style="4" customWidth="1"/>
    <col min="18" max="18" width="13.28515625" style="34" customWidth="1"/>
    <col min="19" max="19" width="16.28515625" style="4" customWidth="1"/>
    <col min="20" max="20" width="14.7109375" customWidth="1"/>
    <col min="21" max="21" width="14.42578125" style="27" customWidth="1"/>
  </cols>
  <sheetData>
    <row r="1" spans="1:22" ht="15.75" x14ac:dyDescent="0.25">
      <c r="U1" s="21" t="s">
        <v>0</v>
      </c>
    </row>
    <row r="2" spans="1:22" ht="15.75" x14ac:dyDescent="0.25">
      <c r="U2" s="22" t="s">
        <v>1</v>
      </c>
      <c r="V2" s="23" t="s">
        <v>3</v>
      </c>
    </row>
    <row r="3" spans="1:22" ht="15.75" x14ac:dyDescent="0.25">
      <c r="U3" s="23" t="s">
        <v>2</v>
      </c>
      <c r="V3" s="24" t="s">
        <v>4</v>
      </c>
    </row>
    <row r="4" spans="1:22" x14ac:dyDescent="0.25">
      <c r="L4" s="3"/>
      <c r="M4" s="3"/>
      <c r="N4" s="3"/>
      <c r="O4" s="3"/>
      <c r="P4" s="3"/>
      <c r="Q4" s="3"/>
      <c r="R4" s="35"/>
      <c r="S4" s="3"/>
      <c r="T4" s="3"/>
      <c r="U4" s="3"/>
    </row>
    <row r="5" spans="1:22" ht="15.75" thickBot="1" x14ac:dyDescent="0.3">
      <c r="L5" s="3">
        <f t="shared" ref="L5:U5" si="0">SUBTOTAL(9,L8:L534)</f>
        <v>-328197411.55153239</v>
      </c>
      <c r="M5" s="3">
        <f t="shared" si="0"/>
        <v>-40716279.063977763</v>
      </c>
      <c r="N5" s="3">
        <f t="shared" si="0"/>
        <v>-253536086.18020448</v>
      </c>
      <c r="O5" s="3">
        <f t="shared" si="0"/>
        <v>-74661325.37132819</v>
      </c>
      <c r="P5" s="3">
        <f t="shared" si="0"/>
        <v>-68248655.793556303</v>
      </c>
      <c r="Q5" s="3">
        <f>SUBTOTAL(9,Q8:Q534)</f>
        <v>-64474046.80719272</v>
      </c>
      <c r="R5" s="35">
        <f t="shared" si="0"/>
        <v>-3758711.2199999997</v>
      </c>
      <c r="S5" s="3">
        <f t="shared" si="0"/>
        <v>-68232758.027192727</v>
      </c>
      <c r="T5" s="3">
        <f t="shared" si="0"/>
        <v>0</v>
      </c>
      <c r="U5" s="3">
        <f t="shared" si="0"/>
        <v>-237722.23048999891</v>
      </c>
    </row>
    <row r="6" spans="1:22" ht="47.45" customHeight="1" thickBot="1" x14ac:dyDescent="0.3">
      <c r="F6" s="5"/>
      <c r="G6" s="5"/>
      <c r="K6" s="5"/>
      <c r="L6" s="66" t="s">
        <v>5</v>
      </c>
      <c r="M6" s="67"/>
      <c r="N6" s="67"/>
      <c r="O6" s="67"/>
      <c r="P6" s="68"/>
      <c r="Q6" s="69" t="s">
        <v>6</v>
      </c>
      <c r="R6" s="62"/>
      <c r="S6" s="70"/>
      <c r="T6" s="71" t="s">
        <v>7</v>
      </c>
      <c r="U6" s="72"/>
    </row>
    <row r="7" spans="1:22" ht="83.25" customHeight="1" thickBot="1" x14ac:dyDescent="0.3">
      <c r="A7" s="6" t="s">
        <v>8</v>
      </c>
      <c r="B7" s="6" t="s">
        <v>255</v>
      </c>
      <c r="C7" s="6" t="s">
        <v>256</v>
      </c>
      <c r="D7" s="7" t="s">
        <v>9</v>
      </c>
      <c r="E7" s="8" t="s">
        <v>10</v>
      </c>
      <c r="F7" s="8" t="s">
        <v>11</v>
      </c>
      <c r="G7" s="8" t="s">
        <v>12</v>
      </c>
      <c r="H7" s="7" t="s">
        <v>13</v>
      </c>
      <c r="I7" s="7" t="s">
        <v>14</v>
      </c>
      <c r="J7" s="7" t="s">
        <v>15</v>
      </c>
      <c r="K7" s="7" t="s">
        <v>16</v>
      </c>
      <c r="L7" s="9" t="s">
        <v>17</v>
      </c>
      <c r="M7" s="10" t="s">
        <v>18</v>
      </c>
      <c r="N7" s="10" t="s">
        <v>19</v>
      </c>
      <c r="O7" s="10" t="s">
        <v>20</v>
      </c>
      <c r="P7" s="11" t="s">
        <v>21</v>
      </c>
      <c r="Q7" s="49" t="s">
        <v>22</v>
      </c>
      <c r="R7" s="12" t="s">
        <v>23</v>
      </c>
      <c r="S7" s="49" t="s">
        <v>315</v>
      </c>
      <c r="T7" s="13" t="s">
        <v>25</v>
      </c>
      <c r="U7" s="25" t="s">
        <v>26</v>
      </c>
    </row>
    <row r="8" spans="1:22" x14ac:dyDescent="0.25">
      <c r="A8" s="16" t="s">
        <v>37</v>
      </c>
      <c r="B8" s="16" t="s">
        <v>257</v>
      </c>
      <c r="C8" s="16" t="s">
        <v>258</v>
      </c>
      <c r="D8" s="16" t="s">
        <v>38</v>
      </c>
      <c r="E8" s="16" t="s">
        <v>38</v>
      </c>
      <c r="F8" s="16" t="s">
        <v>38</v>
      </c>
      <c r="G8" s="16" t="s">
        <v>38</v>
      </c>
      <c r="H8" s="16" t="s">
        <v>39</v>
      </c>
      <c r="I8" s="16" t="s">
        <v>40</v>
      </c>
      <c r="J8" s="16" t="s">
        <v>38</v>
      </c>
      <c r="K8" s="16" t="s">
        <v>293</v>
      </c>
      <c r="L8" s="15">
        <v>-3000000</v>
      </c>
      <c r="M8" s="15">
        <v>0</v>
      </c>
      <c r="N8" s="15">
        <v>0</v>
      </c>
      <c r="O8" s="15">
        <v>-3000000</v>
      </c>
      <c r="P8" s="15">
        <v>-3000000</v>
      </c>
      <c r="Q8" s="15">
        <f>P8-R8</f>
        <v>-3000000</v>
      </c>
      <c r="R8" s="36">
        <v>0</v>
      </c>
      <c r="S8" s="15">
        <f>SUM(Q8:R8)</f>
        <v>-3000000</v>
      </c>
      <c r="T8" s="16"/>
      <c r="U8" s="26"/>
    </row>
    <row r="9" spans="1:22" x14ac:dyDescent="0.25">
      <c r="A9" s="16" t="s">
        <v>37</v>
      </c>
      <c r="B9" s="16" t="s">
        <v>257</v>
      </c>
      <c r="C9" s="16" t="s">
        <v>258</v>
      </c>
      <c r="D9" s="16" t="s">
        <v>38</v>
      </c>
      <c r="E9" s="16" t="s">
        <v>38</v>
      </c>
      <c r="F9" s="16" t="s">
        <v>38</v>
      </c>
      <c r="G9" s="16" t="s">
        <v>38</v>
      </c>
      <c r="H9" s="16" t="s">
        <v>39</v>
      </c>
      <c r="I9" s="16" t="s">
        <v>40</v>
      </c>
      <c r="J9" s="16" t="s">
        <v>291</v>
      </c>
      <c r="K9" s="16" t="s">
        <v>292</v>
      </c>
      <c r="L9" s="15">
        <v>-800000</v>
      </c>
      <c r="M9" s="15">
        <v>0</v>
      </c>
      <c r="N9" s="15">
        <v>0</v>
      </c>
      <c r="O9" s="15">
        <v>-800000</v>
      </c>
      <c r="P9" s="15">
        <v>-800000</v>
      </c>
      <c r="Q9" s="15">
        <f t="shared" ref="Q9:Q78" si="1">P9-R9</f>
        <v>-800000</v>
      </c>
      <c r="R9" s="36">
        <v>0</v>
      </c>
      <c r="S9" s="15">
        <f t="shared" ref="S9:S78" si="2">SUM(Q9:R9)</f>
        <v>-800000</v>
      </c>
      <c r="T9" s="16"/>
      <c r="U9" s="26"/>
    </row>
    <row r="10" spans="1:22" x14ac:dyDescent="0.25">
      <c r="A10" s="16" t="s">
        <v>37</v>
      </c>
      <c r="B10" s="16" t="s">
        <v>259</v>
      </c>
      <c r="C10" s="16" t="s">
        <v>260</v>
      </c>
      <c r="D10" s="16" t="s">
        <v>38</v>
      </c>
      <c r="E10" s="16" t="s">
        <v>38</v>
      </c>
      <c r="F10" s="16" t="s">
        <v>38</v>
      </c>
      <c r="G10" s="16" t="s">
        <v>38</v>
      </c>
      <c r="H10" s="16" t="s">
        <v>41</v>
      </c>
      <c r="I10" s="16" t="s">
        <v>40</v>
      </c>
      <c r="J10" s="16" t="s">
        <v>279</v>
      </c>
      <c r="K10" s="16" t="s">
        <v>280</v>
      </c>
      <c r="L10" s="15">
        <v>-22512.409989999996</v>
      </c>
      <c r="M10" s="15">
        <v>-22512.41</v>
      </c>
      <c r="N10" s="15">
        <v>-22499.989999999998</v>
      </c>
      <c r="O10" s="15">
        <v>-12.41998999999123</v>
      </c>
      <c r="P10" s="15">
        <v>0</v>
      </c>
      <c r="Q10" s="15">
        <f t="shared" si="1"/>
        <v>0</v>
      </c>
      <c r="R10" s="36">
        <v>0</v>
      </c>
      <c r="S10" s="15">
        <f t="shared" si="2"/>
        <v>0</v>
      </c>
      <c r="T10" s="16"/>
      <c r="U10" s="16"/>
    </row>
    <row r="11" spans="1:22" x14ac:dyDescent="0.25">
      <c r="A11" s="16" t="s">
        <v>37</v>
      </c>
      <c r="B11" s="16" t="s">
        <v>259</v>
      </c>
      <c r="C11" s="16" t="s">
        <v>260</v>
      </c>
      <c r="D11" s="16" t="s">
        <v>38</v>
      </c>
      <c r="E11" s="16" t="s">
        <v>38</v>
      </c>
      <c r="F11" s="16" t="s">
        <v>38</v>
      </c>
      <c r="G11" s="16" t="s">
        <v>38</v>
      </c>
      <c r="H11" s="16" t="s">
        <v>41</v>
      </c>
      <c r="I11" s="16" t="s">
        <v>40</v>
      </c>
      <c r="J11" s="16" t="s">
        <v>281</v>
      </c>
      <c r="K11" s="16" t="s">
        <v>282</v>
      </c>
      <c r="L11" s="15">
        <v>-1306844.4399899999</v>
      </c>
      <c r="M11" s="15">
        <v>0</v>
      </c>
      <c r="N11" s="15">
        <v>-645979.85960000008</v>
      </c>
      <c r="O11" s="15">
        <v>-660864.58039000002</v>
      </c>
      <c r="P11" s="15">
        <f>-660864.58039+O10</f>
        <v>-660877.00037999998</v>
      </c>
      <c r="Q11" s="15">
        <f t="shared" si="1"/>
        <v>-660877.00037999998</v>
      </c>
      <c r="R11" s="36">
        <v>0</v>
      </c>
      <c r="S11" s="15">
        <f t="shared" si="2"/>
        <v>-660877.00037999998</v>
      </c>
      <c r="T11" s="16"/>
      <c r="U11" s="16"/>
    </row>
    <row r="12" spans="1:22" x14ac:dyDescent="0.25">
      <c r="A12" s="16" t="s">
        <v>37</v>
      </c>
      <c r="B12" s="16" t="s">
        <v>267</v>
      </c>
      <c r="C12" s="16" t="s">
        <v>268</v>
      </c>
      <c r="D12" s="16" t="s">
        <v>38</v>
      </c>
      <c r="E12" s="16" t="s">
        <v>38</v>
      </c>
      <c r="F12" s="16" t="s">
        <v>38</v>
      </c>
      <c r="G12" s="16" t="s">
        <v>38</v>
      </c>
      <c r="H12" s="16" t="s">
        <v>41</v>
      </c>
      <c r="I12" s="16" t="s">
        <v>40</v>
      </c>
      <c r="J12" s="16" t="s">
        <v>281</v>
      </c>
      <c r="K12" s="16" t="s">
        <v>282</v>
      </c>
      <c r="L12" s="15">
        <v>-120000</v>
      </c>
      <c r="M12" s="15">
        <v>-120000</v>
      </c>
      <c r="N12" s="15">
        <v>-13100</v>
      </c>
      <c r="O12" s="15">
        <v>-106900</v>
      </c>
      <c r="P12" s="15">
        <f>O12</f>
        <v>-106900</v>
      </c>
      <c r="Q12" s="15">
        <f t="shared" si="1"/>
        <v>-106900</v>
      </c>
      <c r="R12" s="36">
        <v>0</v>
      </c>
      <c r="S12" s="15">
        <f t="shared" si="2"/>
        <v>-106900</v>
      </c>
      <c r="T12" s="16"/>
      <c r="U12" s="16"/>
    </row>
    <row r="13" spans="1:22" x14ac:dyDescent="0.25">
      <c r="A13" s="16" t="s">
        <v>37</v>
      </c>
      <c r="B13" s="16" t="s">
        <v>269</v>
      </c>
      <c r="C13" s="16" t="s">
        <v>270</v>
      </c>
      <c r="D13" s="16" t="s">
        <v>38</v>
      </c>
      <c r="E13" s="16" t="s">
        <v>38</v>
      </c>
      <c r="F13" s="16" t="s">
        <v>38</v>
      </c>
      <c r="G13" s="16" t="s">
        <v>38</v>
      </c>
      <c r="H13" s="16" t="s">
        <v>41</v>
      </c>
      <c r="I13" s="16" t="s">
        <v>40</v>
      </c>
      <c r="J13" s="16" t="s">
        <v>281</v>
      </c>
      <c r="K13" s="16" t="s">
        <v>282</v>
      </c>
      <c r="L13" s="15">
        <v>-4494568.8699900005</v>
      </c>
      <c r="M13" s="15">
        <v>-1636458.87</v>
      </c>
      <c r="N13" s="15">
        <v>-2700751.7297999999</v>
      </c>
      <c r="O13" s="15">
        <v>-1793817.1401899997</v>
      </c>
      <c r="P13" s="15">
        <v>-1793817.1401899997</v>
      </c>
      <c r="Q13" s="15">
        <f t="shared" si="1"/>
        <v>-1793817.1401899997</v>
      </c>
      <c r="R13" s="36">
        <v>0</v>
      </c>
      <c r="S13" s="15">
        <f t="shared" si="2"/>
        <v>-1793817.1401899997</v>
      </c>
      <c r="T13" s="16"/>
      <c r="U13" s="16"/>
    </row>
    <row r="14" spans="1:22" x14ac:dyDescent="0.25">
      <c r="A14" s="16" t="s">
        <v>37</v>
      </c>
      <c r="B14" s="16" t="s">
        <v>257</v>
      </c>
      <c r="C14" s="16" t="s">
        <v>258</v>
      </c>
      <c r="D14" s="16" t="s">
        <v>38</v>
      </c>
      <c r="E14" s="16" t="s">
        <v>38</v>
      </c>
      <c r="F14" s="16" t="s">
        <v>38</v>
      </c>
      <c r="G14" s="16" t="s">
        <v>38</v>
      </c>
      <c r="H14" s="16" t="s">
        <v>41</v>
      </c>
      <c r="I14" s="16" t="s">
        <v>40</v>
      </c>
      <c r="J14" s="16" t="s">
        <v>281</v>
      </c>
      <c r="K14" s="16" t="s">
        <v>282</v>
      </c>
      <c r="L14" s="15">
        <v>2.0000152289867401E-5</v>
      </c>
      <c r="M14" s="15">
        <v>0</v>
      </c>
      <c r="N14" s="15">
        <v>0</v>
      </c>
      <c r="O14" s="15">
        <v>2.0000152289867401E-5</v>
      </c>
      <c r="P14" s="15">
        <v>0</v>
      </c>
      <c r="Q14" s="15">
        <f t="shared" si="1"/>
        <v>0</v>
      </c>
      <c r="R14" s="36">
        <v>0</v>
      </c>
      <c r="S14" s="15">
        <f t="shared" si="2"/>
        <v>0</v>
      </c>
      <c r="T14" s="16"/>
      <c r="U14" s="26"/>
    </row>
    <row r="15" spans="1:22" x14ac:dyDescent="0.25">
      <c r="A15" s="16" t="s">
        <v>37</v>
      </c>
      <c r="B15" s="16" t="s">
        <v>271</v>
      </c>
      <c r="C15" s="16" t="s">
        <v>272</v>
      </c>
      <c r="D15" s="16" t="s">
        <v>38</v>
      </c>
      <c r="E15" s="16" t="s">
        <v>38</v>
      </c>
      <c r="F15" s="16" t="s">
        <v>38</v>
      </c>
      <c r="G15" s="16" t="s">
        <v>38</v>
      </c>
      <c r="H15" s="16" t="s">
        <v>41</v>
      </c>
      <c r="I15" s="16" t="s">
        <v>40</v>
      </c>
      <c r="J15" s="16" t="s">
        <v>281</v>
      </c>
      <c r="K15" s="16" t="s">
        <v>282</v>
      </c>
      <c r="L15" s="15">
        <v>9.9999888334423304E-6</v>
      </c>
      <c r="M15" s="15">
        <v>0</v>
      </c>
      <c r="N15" s="15">
        <v>0</v>
      </c>
      <c r="O15" s="15">
        <v>9.9999888334423304E-6</v>
      </c>
      <c r="P15" s="15">
        <v>0</v>
      </c>
      <c r="Q15" s="15">
        <f t="shared" si="1"/>
        <v>0</v>
      </c>
      <c r="R15" s="36">
        <v>0</v>
      </c>
      <c r="S15" s="15">
        <f t="shared" si="2"/>
        <v>0</v>
      </c>
      <c r="T15" s="16"/>
      <c r="U15" s="16"/>
    </row>
    <row r="16" spans="1:22" x14ac:dyDescent="0.25">
      <c r="A16" s="16" t="s">
        <v>37</v>
      </c>
      <c r="B16" s="16" t="s">
        <v>269</v>
      </c>
      <c r="C16" s="16" t="s">
        <v>270</v>
      </c>
      <c r="D16" s="16" t="s">
        <v>38</v>
      </c>
      <c r="E16" s="16" t="s">
        <v>38</v>
      </c>
      <c r="F16" s="16" t="s">
        <v>38</v>
      </c>
      <c r="G16" s="16" t="s">
        <v>38</v>
      </c>
      <c r="H16" s="16" t="s">
        <v>41</v>
      </c>
      <c r="I16" s="16" t="s">
        <v>40</v>
      </c>
      <c r="J16" s="16" t="s">
        <v>294</v>
      </c>
      <c r="K16" s="16" t="s">
        <v>295</v>
      </c>
      <c r="L16" s="15">
        <v>-36900</v>
      </c>
      <c r="M16" s="15">
        <v>-36900</v>
      </c>
      <c r="N16" s="15">
        <v>-36900</v>
      </c>
      <c r="O16" s="15">
        <v>0</v>
      </c>
      <c r="P16" s="15">
        <v>0</v>
      </c>
      <c r="Q16" s="15">
        <f t="shared" si="1"/>
        <v>0</v>
      </c>
      <c r="R16" s="36">
        <v>0</v>
      </c>
      <c r="S16" s="15">
        <f t="shared" si="2"/>
        <v>0</v>
      </c>
      <c r="T16" s="16"/>
      <c r="U16" s="16"/>
    </row>
    <row r="17" spans="1:21" x14ac:dyDescent="0.25">
      <c r="A17" s="16" t="s">
        <v>37</v>
      </c>
      <c r="B17" s="16" t="s">
        <v>257</v>
      </c>
      <c r="C17" s="16" t="s">
        <v>258</v>
      </c>
      <c r="D17" s="16" t="s">
        <v>38</v>
      </c>
      <c r="E17" s="16" t="s">
        <v>38</v>
      </c>
      <c r="F17" s="16" t="s">
        <v>38</v>
      </c>
      <c r="G17" s="16" t="s">
        <v>38</v>
      </c>
      <c r="H17" s="16" t="s">
        <v>41</v>
      </c>
      <c r="I17" s="16" t="s">
        <v>40</v>
      </c>
      <c r="J17" s="16" t="s">
        <v>289</v>
      </c>
      <c r="K17" s="16" t="s">
        <v>290</v>
      </c>
      <c r="L17" s="15">
        <v>-15500</v>
      </c>
      <c r="M17" s="15">
        <v>0</v>
      </c>
      <c r="N17" s="15">
        <v>-15500</v>
      </c>
      <c r="O17" s="15">
        <v>1.8189894035458565E-12</v>
      </c>
      <c r="P17" s="15">
        <v>0</v>
      </c>
      <c r="Q17" s="15">
        <f t="shared" si="1"/>
        <v>0</v>
      </c>
      <c r="R17" s="36">
        <v>0</v>
      </c>
      <c r="S17" s="15">
        <f t="shared" si="2"/>
        <v>0</v>
      </c>
      <c r="T17" s="16"/>
      <c r="U17" s="26"/>
    </row>
    <row r="18" spans="1:21" x14ac:dyDescent="0.25">
      <c r="A18" s="16" t="s">
        <v>37</v>
      </c>
      <c r="B18" s="16" t="s">
        <v>271</v>
      </c>
      <c r="C18" s="16" t="s">
        <v>272</v>
      </c>
      <c r="D18" s="16" t="s">
        <v>38</v>
      </c>
      <c r="E18" s="16" t="s">
        <v>38</v>
      </c>
      <c r="F18" s="16" t="s">
        <v>38</v>
      </c>
      <c r="G18" s="16" t="s">
        <v>38</v>
      </c>
      <c r="H18" s="16" t="s">
        <v>41</v>
      </c>
      <c r="I18" s="16" t="s">
        <v>40</v>
      </c>
      <c r="J18" s="16" t="s">
        <v>289</v>
      </c>
      <c r="K18" s="16" t="s">
        <v>290</v>
      </c>
      <c r="L18" s="15">
        <v>-550995</v>
      </c>
      <c r="M18" s="15">
        <v>0</v>
      </c>
      <c r="N18" s="15">
        <v>-140108</v>
      </c>
      <c r="O18" s="15">
        <v>-410887</v>
      </c>
      <c r="P18" s="15">
        <v>-410887</v>
      </c>
      <c r="Q18" s="15">
        <f t="shared" si="1"/>
        <v>-410887</v>
      </c>
      <c r="R18" s="36">
        <v>0</v>
      </c>
      <c r="S18" s="15">
        <f t="shared" si="2"/>
        <v>-410887</v>
      </c>
      <c r="T18" s="16"/>
      <c r="U18" s="16"/>
    </row>
    <row r="19" spans="1:21" x14ac:dyDescent="0.25">
      <c r="A19" s="16" t="s">
        <v>37</v>
      </c>
      <c r="B19" s="16" t="s">
        <v>265</v>
      </c>
      <c r="C19" s="16" t="s">
        <v>266</v>
      </c>
      <c r="D19" s="16" t="s">
        <v>38</v>
      </c>
      <c r="E19" s="16" t="s">
        <v>38</v>
      </c>
      <c r="F19" s="16" t="s">
        <v>38</v>
      </c>
      <c r="G19" s="16" t="s">
        <v>38</v>
      </c>
      <c r="H19" s="16" t="s">
        <v>41</v>
      </c>
      <c r="I19" s="16" t="s">
        <v>40</v>
      </c>
      <c r="J19" s="16" t="s">
        <v>289</v>
      </c>
      <c r="K19" s="16" t="s">
        <v>290</v>
      </c>
      <c r="L19" s="15">
        <v>-236797</v>
      </c>
      <c r="M19" s="15">
        <v>-61794.000000000007</v>
      </c>
      <c r="N19" s="15">
        <v>-236010</v>
      </c>
      <c r="O19" s="15">
        <v>-787.00000000001455</v>
      </c>
      <c r="P19" s="15">
        <v>-787.00000000001455</v>
      </c>
      <c r="Q19" s="15">
        <f t="shared" si="1"/>
        <v>-787.00000000001455</v>
      </c>
      <c r="R19" s="36">
        <v>0</v>
      </c>
      <c r="S19" s="15">
        <f t="shared" si="2"/>
        <v>-787.00000000001455</v>
      </c>
      <c r="T19" s="16"/>
      <c r="U19" s="16"/>
    </row>
    <row r="20" spans="1:21" x14ac:dyDescent="0.25">
      <c r="A20" s="16" t="s">
        <v>37</v>
      </c>
      <c r="B20" s="16" t="s">
        <v>257</v>
      </c>
      <c r="C20" s="16" t="s">
        <v>258</v>
      </c>
      <c r="D20" s="16" t="s">
        <v>38</v>
      </c>
      <c r="E20" s="16" t="s">
        <v>38</v>
      </c>
      <c r="F20" s="16" t="s">
        <v>38</v>
      </c>
      <c r="G20" s="16" t="s">
        <v>38</v>
      </c>
      <c r="H20" s="16" t="s">
        <v>41</v>
      </c>
      <c r="I20" s="16" t="s">
        <v>40</v>
      </c>
      <c r="J20" s="16" t="s">
        <v>285</v>
      </c>
      <c r="K20" s="16" t="s">
        <v>286</v>
      </c>
      <c r="L20" s="15">
        <v>1.2999999671592377E-4</v>
      </c>
      <c r="M20" s="15">
        <v>0</v>
      </c>
      <c r="N20" s="15">
        <v>0</v>
      </c>
      <c r="O20" s="15">
        <v>1.2999999671592377E-4</v>
      </c>
      <c r="P20" s="15">
        <v>0</v>
      </c>
      <c r="Q20" s="15">
        <f t="shared" si="1"/>
        <v>0</v>
      </c>
      <c r="R20" s="36">
        <v>0</v>
      </c>
      <c r="S20" s="15">
        <f t="shared" si="2"/>
        <v>0</v>
      </c>
      <c r="T20" s="16"/>
      <c r="U20" s="26"/>
    </row>
    <row r="21" spans="1:21" x14ac:dyDescent="0.25">
      <c r="A21" s="16" t="s">
        <v>37</v>
      </c>
      <c r="B21" s="16" t="s">
        <v>263</v>
      </c>
      <c r="C21" s="16" t="s">
        <v>264</v>
      </c>
      <c r="D21" s="16" t="s">
        <v>38</v>
      </c>
      <c r="E21" s="16" t="s">
        <v>38</v>
      </c>
      <c r="F21" s="16" t="s">
        <v>38</v>
      </c>
      <c r="G21" s="16" t="s">
        <v>38</v>
      </c>
      <c r="H21" s="16" t="s">
        <v>41</v>
      </c>
      <c r="I21" s="16" t="s">
        <v>40</v>
      </c>
      <c r="J21" s="16" t="s">
        <v>285</v>
      </c>
      <c r="K21" s="16" t="s">
        <v>286</v>
      </c>
      <c r="L21" s="15">
        <v>1.0000000474974513E-4</v>
      </c>
      <c r="M21" s="15">
        <v>0</v>
      </c>
      <c r="N21" s="15">
        <v>0</v>
      </c>
      <c r="O21" s="15">
        <v>1.0000000474974513E-4</v>
      </c>
      <c r="P21" s="15">
        <v>0</v>
      </c>
      <c r="Q21" s="15">
        <f t="shared" si="1"/>
        <v>0</v>
      </c>
      <c r="R21" s="36">
        <v>0</v>
      </c>
      <c r="S21" s="15">
        <f t="shared" si="2"/>
        <v>0</v>
      </c>
      <c r="T21" s="16"/>
      <c r="U21" s="16"/>
    </row>
    <row r="22" spans="1:21" x14ac:dyDescent="0.25">
      <c r="A22" s="16" t="s">
        <v>37</v>
      </c>
      <c r="B22" s="16" t="s">
        <v>261</v>
      </c>
      <c r="C22" s="16" t="s">
        <v>262</v>
      </c>
      <c r="D22" s="16" t="s">
        <v>38</v>
      </c>
      <c r="E22" s="16" t="s">
        <v>38</v>
      </c>
      <c r="F22" s="16" t="s">
        <v>38</v>
      </c>
      <c r="G22" s="16" t="s">
        <v>38</v>
      </c>
      <c r="H22" s="16" t="s">
        <v>41</v>
      </c>
      <c r="I22" s="16" t="s">
        <v>40</v>
      </c>
      <c r="J22" s="16" t="s">
        <v>285</v>
      </c>
      <c r="K22" s="16" t="s">
        <v>286</v>
      </c>
      <c r="L22" s="15">
        <v>-142018.57998999997</v>
      </c>
      <c r="M22" s="15">
        <v>-142018.57999999999</v>
      </c>
      <c r="N22" s="15">
        <v>-141846.09</v>
      </c>
      <c r="O22" s="15">
        <v>-172.4899899999582</v>
      </c>
      <c r="P22" s="15">
        <f>O22</f>
        <v>-172.4899899999582</v>
      </c>
      <c r="Q22" s="15">
        <f t="shared" si="1"/>
        <v>-172.4899899999582</v>
      </c>
      <c r="R22" s="36">
        <v>0</v>
      </c>
      <c r="S22" s="15">
        <f t="shared" si="2"/>
        <v>-172.4899899999582</v>
      </c>
      <c r="T22" s="16"/>
      <c r="U22" s="16"/>
    </row>
    <row r="23" spans="1:21" x14ac:dyDescent="0.25">
      <c r="A23" s="16" t="s">
        <v>37</v>
      </c>
      <c r="B23" s="16" t="s">
        <v>265</v>
      </c>
      <c r="C23" s="16" t="s">
        <v>266</v>
      </c>
      <c r="D23" s="16" t="s">
        <v>38</v>
      </c>
      <c r="E23" s="16" t="s">
        <v>38</v>
      </c>
      <c r="F23" s="16" t="s">
        <v>38</v>
      </c>
      <c r="G23" s="16" t="s">
        <v>38</v>
      </c>
      <c r="H23" s="16" t="s">
        <v>41</v>
      </c>
      <c r="I23" s="16" t="s">
        <v>40</v>
      </c>
      <c r="J23" s="16" t="s">
        <v>285</v>
      </c>
      <c r="K23" s="16" t="s">
        <v>286</v>
      </c>
      <c r="L23" s="15">
        <v>-35000</v>
      </c>
      <c r="M23" s="15">
        <v>0</v>
      </c>
      <c r="N23" s="15">
        <v>-34879.999999999993</v>
      </c>
      <c r="O23" s="15">
        <v>-120.00000000000364</v>
      </c>
      <c r="P23" s="15">
        <v>-120.00000000000364</v>
      </c>
      <c r="Q23" s="15">
        <f t="shared" si="1"/>
        <v>-120.00000000000364</v>
      </c>
      <c r="R23" s="36">
        <v>0</v>
      </c>
      <c r="S23" s="15">
        <f t="shared" si="2"/>
        <v>-120.00000000000364</v>
      </c>
      <c r="T23" s="16"/>
      <c r="U23" s="16"/>
    </row>
    <row r="24" spans="1:21" x14ac:dyDescent="0.25">
      <c r="A24" s="16" t="s">
        <v>37</v>
      </c>
      <c r="B24" s="16" t="s">
        <v>265</v>
      </c>
      <c r="C24" s="16" t="s">
        <v>266</v>
      </c>
      <c r="D24" s="16" t="s">
        <v>38</v>
      </c>
      <c r="E24" s="16" t="s">
        <v>38</v>
      </c>
      <c r="F24" s="16" t="s">
        <v>38</v>
      </c>
      <c r="G24" s="16" t="s">
        <v>38</v>
      </c>
      <c r="H24" s="16" t="s">
        <v>41</v>
      </c>
      <c r="I24" s="16" t="s">
        <v>40</v>
      </c>
      <c r="J24" s="16" t="s">
        <v>283</v>
      </c>
      <c r="K24" s="16" t="s">
        <v>284</v>
      </c>
      <c r="L24" s="15">
        <v>-16013</v>
      </c>
      <c r="M24" s="15">
        <v>-16013</v>
      </c>
      <c r="N24" s="15">
        <v>-16013</v>
      </c>
      <c r="O24" s="15">
        <v>0</v>
      </c>
      <c r="P24" s="15">
        <v>0</v>
      </c>
      <c r="Q24" s="15">
        <f t="shared" si="1"/>
        <v>0</v>
      </c>
      <c r="R24" s="36">
        <v>0</v>
      </c>
      <c r="S24" s="15">
        <f t="shared" si="2"/>
        <v>0</v>
      </c>
      <c r="T24" s="16"/>
      <c r="U24" s="16"/>
    </row>
    <row r="25" spans="1:21" x14ac:dyDescent="0.25">
      <c r="A25" s="16" t="s">
        <v>37</v>
      </c>
      <c r="B25" s="16" t="s">
        <v>259</v>
      </c>
      <c r="C25" s="16" t="s">
        <v>260</v>
      </c>
      <c r="D25" s="16" t="s">
        <v>38</v>
      </c>
      <c r="E25" s="16" t="s">
        <v>38</v>
      </c>
      <c r="F25" s="16" t="s">
        <v>38</v>
      </c>
      <c r="G25" s="16" t="s">
        <v>38</v>
      </c>
      <c r="H25" s="16" t="s">
        <v>41</v>
      </c>
      <c r="I25" s="16" t="s">
        <v>40</v>
      </c>
      <c r="J25" s="16" t="s">
        <v>283</v>
      </c>
      <c r="K25" s="16" t="s">
        <v>284</v>
      </c>
      <c r="L25" s="15">
        <v>-50760.000000000015</v>
      </c>
      <c r="M25" s="15">
        <v>0</v>
      </c>
      <c r="N25" s="15">
        <v>0</v>
      </c>
      <c r="O25" s="15">
        <v>-50760.000000000015</v>
      </c>
      <c r="P25" s="15">
        <v>-50760.000000000015</v>
      </c>
      <c r="Q25" s="15">
        <f t="shared" si="1"/>
        <v>-50760.000000000015</v>
      </c>
      <c r="R25" s="36">
        <v>0</v>
      </c>
      <c r="S25" s="15">
        <f t="shared" si="2"/>
        <v>-50760.000000000015</v>
      </c>
      <c r="T25" s="16"/>
      <c r="U25" s="16"/>
    </row>
    <row r="26" spans="1:21" x14ac:dyDescent="0.25">
      <c r="A26" s="16" t="s">
        <v>37</v>
      </c>
      <c r="B26" s="16" t="s">
        <v>267</v>
      </c>
      <c r="C26" s="16" t="s">
        <v>268</v>
      </c>
      <c r="D26" s="16" t="s">
        <v>38</v>
      </c>
      <c r="E26" s="16" t="s">
        <v>38</v>
      </c>
      <c r="F26" s="16" t="s">
        <v>38</v>
      </c>
      <c r="G26" s="16" t="s">
        <v>38</v>
      </c>
      <c r="H26" s="16" t="s">
        <v>41</v>
      </c>
      <c r="I26" s="16" t="s">
        <v>40</v>
      </c>
      <c r="J26" s="16" t="s">
        <v>283</v>
      </c>
      <c r="K26" s="16" t="s">
        <v>284</v>
      </c>
      <c r="L26" s="15">
        <v>-579018.99998999992</v>
      </c>
      <c r="M26" s="15">
        <v>-519018.99998999998</v>
      </c>
      <c r="N26" s="15">
        <v>-57349</v>
      </c>
      <c r="O26" s="15">
        <v>-521669.99998999998</v>
      </c>
      <c r="P26" s="15">
        <f>O26</f>
        <v>-521669.99998999998</v>
      </c>
      <c r="Q26" s="15">
        <f t="shared" si="1"/>
        <v>-521669.99998999998</v>
      </c>
      <c r="R26" s="36">
        <v>0</v>
      </c>
      <c r="S26" s="15">
        <f t="shared" si="2"/>
        <v>-521669.99998999998</v>
      </c>
      <c r="T26" s="16"/>
      <c r="U26" s="16"/>
    </row>
    <row r="27" spans="1:21" x14ac:dyDescent="0.25">
      <c r="A27" s="16" t="s">
        <v>37</v>
      </c>
      <c r="B27" s="16" t="s">
        <v>267</v>
      </c>
      <c r="C27" s="16" t="s">
        <v>268</v>
      </c>
      <c r="D27" s="16" t="s">
        <v>38</v>
      </c>
      <c r="E27" s="16" t="s">
        <v>38</v>
      </c>
      <c r="F27" s="16" t="s">
        <v>38</v>
      </c>
      <c r="G27" s="16" t="s">
        <v>38</v>
      </c>
      <c r="H27" s="16" t="s">
        <v>41</v>
      </c>
      <c r="I27" s="16" t="s">
        <v>40</v>
      </c>
      <c r="J27" s="16" t="s">
        <v>42</v>
      </c>
      <c r="K27" s="16" t="s">
        <v>43</v>
      </c>
      <c r="L27" s="15">
        <v>-428863.37</v>
      </c>
      <c r="M27" s="15">
        <v>-53863.37</v>
      </c>
      <c r="N27" s="15">
        <v>-35035.869700000025</v>
      </c>
      <c r="O27" s="15">
        <v>-393827.50029999996</v>
      </c>
      <c r="P27" s="15">
        <v>-375000</v>
      </c>
      <c r="Q27" s="15">
        <f t="shared" si="1"/>
        <v>-375000</v>
      </c>
      <c r="R27" s="36">
        <v>0</v>
      </c>
      <c r="S27" s="15">
        <f t="shared" si="2"/>
        <v>-375000</v>
      </c>
      <c r="T27" s="16"/>
      <c r="U27" s="16"/>
    </row>
    <row r="28" spans="1:21" x14ac:dyDescent="0.25">
      <c r="A28" s="16" t="s">
        <v>37</v>
      </c>
      <c r="B28" s="16" t="s">
        <v>271</v>
      </c>
      <c r="C28" s="16" t="s">
        <v>272</v>
      </c>
      <c r="D28" s="16" t="s">
        <v>38</v>
      </c>
      <c r="E28" s="16" t="s">
        <v>38</v>
      </c>
      <c r="F28" s="16" t="s">
        <v>38</v>
      </c>
      <c r="G28" s="16" t="s">
        <v>38</v>
      </c>
      <c r="H28" s="16" t="s">
        <v>41</v>
      </c>
      <c r="I28" s="16" t="s">
        <v>40</v>
      </c>
      <c r="J28" s="16" t="s">
        <v>44</v>
      </c>
      <c r="K28" s="16" t="s">
        <v>45</v>
      </c>
      <c r="L28" s="15">
        <v>-94166.999989998993</v>
      </c>
      <c r="M28" s="15">
        <v>-94167</v>
      </c>
      <c r="N28" s="15">
        <v>0</v>
      </c>
      <c r="O28" s="15">
        <v>-94166.999989998993</v>
      </c>
      <c r="P28" s="15">
        <v>0</v>
      </c>
      <c r="Q28" s="15">
        <f t="shared" si="1"/>
        <v>0</v>
      </c>
      <c r="R28" s="36">
        <v>0</v>
      </c>
      <c r="S28" s="15">
        <f t="shared" si="2"/>
        <v>0</v>
      </c>
      <c r="T28" s="16"/>
      <c r="U28" s="16"/>
    </row>
    <row r="29" spans="1:21" x14ac:dyDescent="0.25">
      <c r="A29" s="16" t="s">
        <v>37</v>
      </c>
      <c r="B29" s="16" t="s">
        <v>259</v>
      </c>
      <c r="C29" s="16" t="s">
        <v>260</v>
      </c>
      <c r="D29" s="16" t="s">
        <v>38</v>
      </c>
      <c r="E29" s="16" t="s">
        <v>38</v>
      </c>
      <c r="F29" s="16" t="s">
        <v>38</v>
      </c>
      <c r="G29" s="16" t="s">
        <v>38</v>
      </c>
      <c r="H29" s="16" t="s">
        <v>41</v>
      </c>
      <c r="I29" s="16" t="s">
        <v>40</v>
      </c>
      <c r="J29" s="16" t="s">
        <v>44</v>
      </c>
      <c r="K29" s="16" t="s">
        <v>45</v>
      </c>
      <c r="L29" s="15">
        <v>-0.3299000000115484</v>
      </c>
      <c r="M29" s="15">
        <v>0</v>
      </c>
      <c r="N29" s="15">
        <v>0</v>
      </c>
      <c r="O29" s="15">
        <v>-0.3299000000115484</v>
      </c>
      <c r="P29" s="15">
        <v>-0.3299000000115484</v>
      </c>
      <c r="Q29" s="15">
        <f t="shared" si="1"/>
        <v>-0.3299000000115484</v>
      </c>
      <c r="R29" s="36">
        <v>0</v>
      </c>
      <c r="S29" s="15">
        <f t="shared" si="2"/>
        <v>-0.3299000000115484</v>
      </c>
      <c r="T29" s="16"/>
      <c r="U29" s="16"/>
    </row>
    <row r="30" spans="1:21" x14ac:dyDescent="0.25">
      <c r="A30" s="16" t="s">
        <v>37</v>
      </c>
      <c r="B30" s="16" t="s">
        <v>259</v>
      </c>
      <c r="C30" s="16" t="s">
        <v>260</v>
      </c>
      <c r="D30" s="16" t="s">
        <v>38</v>
      </c>
      <c r="E30" s="16" t="s">
        <v>38</v>
      </c>
      <c r="F30" s="16" t="s">
        <v>38</v>
      </c>
      <c r="G30" s="16" t="s">
        <v>38</v>
      </c>
      <c r="H30" s="16" t="s">
        <v>41</v>
      </c>
      <c r="I30" s="16" t="s">
        <v>40</v>
      </c>
      <c r="J30" s="16" t="s">
        <v>46</v>
      </c>
      <c r="K30" s="16" t="s">
        <v>47</v>
      </c>
      <c r="L30" s="15">
        <v>-1060350.0001999999</v>
      </c>
      <c r="M30" s="15">
        <v>-60350.000200000002</v>
      </c>
      <c r="N30" s="15">
        <v>-580000</v>
      </c>
      <c r="O30" s="15">
        <v>-480350.00020000001</v>
      </c>
      <c r="P30" s="15">
        <v>-480350.00020000001</v>
      </c>
      <c r="Q30" s="15">
        <f t="shared" si="1"/>
        <v>-2.0000000949949026E-4</v>
      </c>
      <c r="R30" s="36">
        <v>-480350</v>
      </c>
      <c r="S30" s="15">
        <f t="shared" si="2"/>
        <v>-480350.00020000001</v>
      </c>
      <c r="T30" s="16"/>
      <c r="U30" s="16"/>
    </row>
    <row r="31" spans="1:21" x14ac:dyDescent="0.25">
      <c r="A31" s="16" t="s">
        <v>37</v>
      </c>
      <c r="B31" s="16" t="s">
        <v>259</v>
      </c>
      <c r="C31" s="16" t="s">
        <v>260</v>
      </c>
      <c r="D31" s="16" t="s">
        <v>38</v>
      </c>
      <c r="E31" s="16" t="s">
        <v>38</v>
      </c>
      <c r="F31" s="16" t="s">
        <v>38</v>
      </c>
      <c r="G31" s="16" t="s">
        <v>38</v>
      </c>
      <c r="H31" s="16" t="s">
        <v>41</v>
      </c>
      <c r="I31" s="16" t="s">
        <v>40</v>
      </c>
      <c r="J31" s="16" t="s">
        <v>48</v>
      </c>
      <c r="K31" s="16" t="s">
        <v>49</v>
      </c>
      <c r="L31" s="15">
        <v>-69371582.579970002</v>
      </c>
      <c r="M31" s="15">
        <v>0</v>
      </c>
      <c r="N31" s="15">
        <v>-57326710.467999995</v>
      </c>
      <c r="O31" s="15">
        <v>-12044872.11197</v>
      </c>
      <c r="P31" s="15">
        <v>-12044872.11197</v>
      </c>
      <c r="Q31" s="15">
        <f t="shared" si="1"/>
        <v>-12044872.11197</v>
      </c>
      <c r="R31" s="36">
        <v>0</v>
      </c>
      <c r="S31" s="15">
        <f t="shared" si="2"/>
        <v>-12044872.11197</v>
      </c>
      <c r="T31" s="16"/>
      <c r="U31" s="16"/>
    </row>
    <row r="32" spans="1:21" x14ac:dyDescent="0.25">
      <c r="A32" s="16" t="s">
        <v>37</v>
      </c>
      <c r="B32" s="16" t="s">
        <v>259</v>
      </c>
      <c r="C32" s="16" t="s">
        <v>260</v>
      </c>
      <c r="D32" s="16" t="s">
        <v>38</v>
      </c>
      <c r="E32" s="16" t="s">
        <v>38</v>
      </c>
      <c r="F32" s="16" t="s">
        <v>38</v>
      </c>
      <c r="G32" s="16" t="s">
        <v>38</v>
      </c>
      <c r="H32" s="16" t="s">
        <v>41</v>
      </c>
      <c r="I32" s="16" t="s">
        <v>40</v>
      </c>
      <c r="J32" s="16" t="s">
        <v>50</v>
      </c>
      <c r="K32" s="16" t="s">
        <v>51</v>
      </c>
      <c r="L32" s="15">
        <v>-725064.27</v>
      </c>
      <c r="M32" s="15">
        <v>-325064.27</v>
      </c>
      <c r="N32" s="15">
        <v>-230057.38990000001</v>
      </c>
      <c r="O32" s="15">
        <v>-495006.88010000007</v>
      </c>
      <c r="P32" s="15">
        <v>-400000</v>
      </c>
      <c r="Q32" s="15">
        <f t="shared" si="1"/>
        <v>0</v>
      </c>
      <c r="R32" s="36">
        <v>-400000</v>
      </c>
      <c r="S32" s="15">
        <f t="shared" si="2"/>
        <v>-400000</v>
      </c>
      <c r="T32" s="16"/>
      <c r="U32" s="16"/>
    </row>
    <row r="33" spans="1:21" x14ac:dyDescent="0.25">
      <c r="A33" s="16" t="s">
        <v>37</v>
      </c>
      <c r="B33" s="16" t="s">
        <v>259</v>
      </c>
      <c r="C33" s="16" t="s">
        <v>260</v>
      </c>
      <c r="D33" s="16" t="s">
        <v>38</v>
      </c>
      <c r="E33" s="16" t="s">
        <v>38</v>
      </c>
      <c r="F33" s="16" t="s">
        <v>38</v>
      </c>
      <c r="G33" s="16" t="s">
        <v>38</v>
      </c>
      <c r="H33" s="16" t="s">
        <v>41</v>
      </c>
      <c r="I33" s="16" t="s">
        <v>40</v>
      </c>
      <c r="J33" s="16" t="s">
        <v>52</v>
      </c>
      <c r="K33" s="16" t="s">
        <v>53</v>
      </c>
      <c r="L33" s="15">
        <v>-423058.6</v>
      </c>
      <c r="M33" s="15">
        <v>0</v>
      </c>
      <c r="N33" s="15">
        <v>-349068.48</v>
      </c>
      <c r="O33" s="15">
        <v>-73990.12</v>
      </c>
      <c r="P33" s="15">
        <v>-73990.12</v>
      </c>
      <c r="Q33" s="15">
        <f t="shared" si="1"/>
        <v>-73990.12</v>
      </c>
      <c r="R33" s="36">
        <v>0</v>
      </c>
      <c r="S33" s="15">
        <f t="shared" si="2"/>
        <v>-73990.12</v>
      </c>
      <c r="T33" s="16"/>
      <c r="U33" s="16"/>
    </row>
    <row r="34" spans="1:21" x14ac:dyDescent="0.25">
      <c r="A34" s="16" t="s">
        <v>37</v>
      </c>
      <c r="B34" s="16" t="s">
        <v>259</v>
      </c>
      <c r="C34" s="16" t="s">
        <v>260</v>
      </c>
      <c r="D34" s="16" t="s">
        <v>38</v>
      </c>
      <c r="E34" s="16" t="s">
        <v>38</v>
      </c>
      <c r="F34" s="16" t="s">
        <v>38</v>
      </c>
      <c r="G34" s="16" t="s">
        <v>38</v>
      </c>
      <c r="H34" s="16" t="s">
        <v>41</v>
      </c>
      <c r="I34" s="16" t="s">
        <v>40</v>
      </c>
      <c r="J34" s="16" t="s">
        <v>54</v>
      </c>
      <c r="K34" s="16" t="s">
        <v>55</v>
      </c>
      <c r="L34" s="15">
        <v>-2545882.2710000002</v>
      </c>
      <c r="M34" s="15">
        <v>-45882.271000000001</v>
      </c>
      <c r="N34" s="15">
        <v>-1169507.3</v>
      </c>
      <c r="O34" s="15">
        <v>-1376374.9710000004</v>
      </c>
      <c r="P34" s="15">
        <v>-1376374.9710000004</v>
      </c>
      <c r="Q34" s="15">
        <f t="shared" si="1"/>
        <v>-1376374.9710000004</v>
      </c>
      <c r="R34" s="36">
        <v>0</v>
      </c>
      <c r="S34" s="15">
        <f t="shared" si="2"/>
        <v>-1376374.9710000004</v>
      </c>
      <c r="T34" s="16"/>
      <c r="U34" s="16"/>
    </row>
    <row r="35" spans="1:21" x14ac:dyDescent="0.25">
      <c r="A35" s="16" t="s">
        <v>37</v>
      </c>
      <c r="B35" s="16" t="s">
        <v>259</v>
      </c>
      <c r="C35" s="16" t="s">
        <v>260</v>
      </c>
      <c r="D35" s="16" t="s">
        <v>38</v>
      </c>
      <c r="E35" s="16" t="s">
        <v>38</v>
      </c>
      <c r="F35" s="16" t="s">
        <v>38</v>
      </c>
      <c r="G35" s="16" t="s">
        <v>38</v>
      </c>
      <c r="H35" s="16" t="s">
        <v>41</v>
      </c>
      <c r="I35" s="16" t="s">
        <v>40</v>
      </c>
      <c r="J35" s="16" t="s">
        <v>56</v>
      </c>
      <c r="K35" s="16" t="s">
        <v>57</v>
      </c>
      <c r="L35" s="15">
        <v>1.0000000474974513E-4</v>
      </c>
      <c r="M35" s="15">
        <v>0</v>
      </c>
      <c r="N35" s="15">
        <v>0</v>
      </c>
      <c r="O35" s="15">
        <v>1.0000000474974513E-4</v>
      </c>
      <c r="P35" s="15">
        <v>0</v>
      </c>
      <c r="Q35" s="15">
        <f t="shared" si="1"/>
        <v>0</v>
      </c>
      <c r="R35" s="36">
        <v>0</v>
      </c>
      <c r="S35" s="15">
        <f t="shared" si="2"/>
        <v>0</v>
      </c>
      <c r="T35" s="16"/>
      <c r="U35" s="16"/>
    </row>
    <row r="36" spans="1:21" x14ac:dyDescent="0.25">
      <c r="A36" s="16" t="s">
        <v>37</v>
      </c>
      <c r="B36" s="16" t="s">
        <v>271</v>
      </c>
      <c r="C36" s="16" t="s">
        <v>272</v>
      </c>
      <c r="D36" s="16" t="s">
        <v>38</v>
      </c>
      <c r="E36" s="16" t="s">
        <v>38</v>
      </c>
      <c r="F36" s="16" t="s">
        <v>38</v>
      </c>
      <c r="G36" s="16" t="s">
        <v>38</v>
      </c>
      <c r="H36" s="16" t="s">
        <v>41</v>
      </c>
      <c r="I36" s="16" t="s">
        <v>40</v>
      </c>
      <c r="J36" s="16" t="s">
        <v>56</v>
      </c>
      <c r="K36" s="16" t="s">
        <v>57</v>
      </c>
      <c r="L36" s="15">
        <v>-166666.99999000001</v>
      </c>
      <c r="M36" s="15">
        <v>-166667</v>
      </c>
      <c r="N36" s="15">
        <v>-96920</v>
      </c>
      <c r="O36" s="15">
        <v>-69746.999990000011</v>
      </c>
      <c r="P36" s="15">
        <v>0</v>
      </c>
      <c r="Q36" s="15">
        <f t="shared" si="1"/>
        <v>0</v>
      </c>
      <c r="R36" s="36">
        <v>0</v>
      </c>
      <c r="S36" s="15">
        <f t="shared" si="2"/>
        <v>0</v>
      </c>
      <c r="T36" s="16"/>
      <c r="U36" s="16"/>
    </row>
    <row r="37" spans="1:21" x14ac:dyDescent="0.25">
      <c r="A37" s="16" t="s">
        <v>37</v>
      </c>
      <c r="B37" s="16" t="s">
        <v>271</v>
      </c>
      <c r="C37" s="16" t="s">
        <v>272</v>
      </c>
      <c r="D37" s="16" t="s">
        <v>38</v>
      </c>
      <c r="E37" s="16" t="s">
        <v>38</v>
      </c>
      <c r="F37" s="16" t="s">
        <v>38</v>
      </c>
      <c r="G37" s="16" t="s">
        <v>38</v>
      </c>
      <c r="H37" s="16" t="s">
        <v>41</v>
      </c>
      <c r="I37" s="16" t="s">
        <v>40</v>
      </c>
      <c r="J37" s="16" t="s">
        <v>58</v>
      </c>
      <c r="K37" s="16" t="s">
        <v>59</v>
      </c>
      <c r="L37" s="15">
        <v>-307367</v>
      </c>
      <c r="M37" s="15">
        <v>0</v>
      </c>
      <c r="N37" s="15">
        <v>-8988</v>
      </c>
      <c r="O37" s="15">
        <v>-298379</v>
      </c>
      <c r="P37" s="15">
        <v>-298379</v>
      </c>
      <c r="Q37" s="15">
        <f t="shared" si="1"/>
        <v>8988</v>
      </c>
      <c r="R37" s="36">
        <v>-307367</v>
      </c>
      <c r="S37" s="15">
        <f t="shared" si="2"/>
        <v>-298379</v>
      </c>
      <c r="T37" s="16"/>
      <c r="U37" s="16"/>
    </row>
    <row r="38" spans="1:21" x14ac:dyDescent="0.25">
      <c r="A38" s="16" t="s">
        <v>37</v>
      </c>
      <c r="B38" s="16" t="s">
        <v>263</v>
      </c>
      <c r="C38" s="16" t="s">
        <v>264</v>
      </c>
      <c r="D38" s="16" t="s">
        <v>38</v>
      </c>
      <c r="E38" s="16" t="s">
        <v>38</v>
      </c>
      <c r="F38" s="16" t="s">
        <v>38</v>
      </c>
      <c r="G38" s="16" t="s">
        <v>38</v>
      </c>
      <c r="H38" s="16" t="s">
        <v>41</v>
      </c>
      <c r="I38" s="16" t="s">
        <v>40</v>
      </c>
      <c r="J38" s="16" t="s">
        <v>273</v>
      </c>
      <c r="K38" s="16" t="s">
        <v>274</v>
      </c>
      <c r="L38" s="15">
        <v>2.0000006770715117E-5</v>
      </c>
      <c r="M38" s="15">
        <v>2.0000006770715117E-5</v>
      </c>
      <c r="N38" s="15">
        <v>0</v>
      </c>
      <c r="O38" s="15">
        <v>2.0000006770715117E-5</v>
      </c>
      <c r="P38" s="15">
        <v>2.0000006770715117E-5</v>
      </c>
      <c r="Q38" s="15">
        <f t="shared" si="1"/>
        <v>2.0000006770715117E-5</v>
      </c>
      <c r="R38" s="36">
        <v>0</v>
      </c>
      <c r="S38" s="15">
        <f t="shared" si="2"/>
        <v>2.0000006770715117E-5</v>
      </c>
      <c r="T38" s="16"/>
      <c r="U38" s="16"/>
    </row>
    <row r="39" spans="1:21" x14ac:dyDescent="0.25">
      <c r="A39" s="16" t="s">
        <v>37</v>
      </c>
      <c r="B39" s="16" t="s">
        <v>269</v>
      </c>
      <c r="C39" s="16" t="s">
        <v>270</v>
      </c>
      <c r="D39" s="16" t="s">
        <v>38</v>
      </c>
      <c r="E39" s="16" t="s">
        <v>38</v>
      </c>
      <c r="F39" s="16" t="s">
        <v>38</v>
      </c>
      <c r="G39" s="16" t="s">
        <v>38</v>
      </c>
      <c r="H39" s="16" t="s">
        <v>41</v>
      </c>
      <c r="I39" s="16" t="s">
        <v>40</v>
      </c>
      <c r="J39" s="16" t="s">
        <v>60</v>
      </c>
      <c r="K39" s="16" t="s">
        <v>61</v>
      </c>
      <c r="L39" s="15">
        <v>-4194</v>
      </c>
      <c r="M39" s="15">
        <v>-4194</v>
      </c>
      <c r="N39" s="15">
        <v>0</v>
      </c>
      <c r="O39" s="15">
        <v>-4194</v>
      </c>
      <c r="P39" s="15">
        <v>-4194</v>
      </c>
      <c r="Q39" s="15">
        <v>0</v>
      </c>
      <c r="R39" s="36">
        <v>0</v>
      </c>
      <c r="S39" s="15">
        <f t="shared" si="2"/>
        <v>0</v>
      </c>
      <c r="T39" s="16"/>
      <c r="U39" s="15">
        <f>P39</f>
        <v>-4194</v>
      </c>
    </row>
    <row r="40" spans="1:21" x14ac:dyDescent="0.25">
      <c r="A40" s="16" t="s">
        <v>37</v>
      </c>
      <c r="B40" s="16" t="s">
        <v>259</v>
      </c>
      <c r="C40" s="16" t="s">
        <v>260</v>
      </c>
      <c r="D40" s="16" t="s">
        <v>38</v>
      </c>
      <c r="E40" s="16" t="s">
        <v>38</v>
      </c>
      <c r="F40" s="16" t="s">
        <v>38</v>
      </c>
      <c r="G40" s="16" t="s">
        <v>38</v>
      </c>
      <c r="H40" s="16" t="s">
        <v>41</v>
      </c>
      <c r="I40" s="16" t="s">
        <v>40</v>
      </c>
      <c r="J40" s="16" t="s">
        <v>287</v>
      </c>
      <c r="K40" s="16" t="s">
        <v>288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f t="shared" si="1"/>
        <v>0</v>
      </c>
      <c r="R40" s="36">
        <v>0</v>
      </c>
      <c r="S40" s="15">
        <f t="shared" si="2"/>
        <v>0</v>
      </c>
      <c r="T40" s="16"/>
      <c r="U40" s="16"/>
    </row>
    <row r="41" spans="1:21" x14ac:dyDescent="0.25">
      <c r="A41" s="16" t="s">
        <v>37</v>
      </c>
      <c r="B41" s="16" t="s">
        <v>267</v>
      </c>
      <c r="C41" s="16" t="s">
        <v>268</v>
      </c>
      <c r="D41" s="16" t="s">
        <v>38</v>
      </c>
      <c r="E41" s="16" t="s">
        <v>38</v>
      </c>
      <c r="F41" s="16" t="s">
        <v>38</v>
      </c>
      <c r="G41" s="16" t="s">
        <v>38</v>
      </c>
      <c r="H41" s="16" t="s">
        <v>41</v>
      </c>
      <c r="I41" s="16" t="s">
        <v>40</v>
      </c>
      <c r="J41" s="16" t="s">
        <v>62</v>
      </c>
      <c r="K41" s="16" t="s">
        <v>63</v>
      </c>
      <c r="L41" s="15">
        <v>-50000</v>
      </c>
      <c r="M41" s="15">
        <v>-50000</v>
      </c>
      <c r="N41" s="15">
        <v>-41125</v>
      </c>
      <c r="O41" s="15">
        <v>-8875</v>
      </c>
      <c r="P41" s="15">
        <v>0</v>
      </c>
      <c r="Q41" s="15">
        <f t="shared" si="1"/>
        <v>0</v>
      </c>
      <c r="R41" s="36">
        <v>0</v>
      </c>
      <c r="S41" s="15">
        <f t="shared" si="2"/>
        <v>0</v>
      </c>
      <c r="T41" s="16"/>
      <c r="U41" s="15">
        <v>-8875</v>
      </c>
    </row>
    <row r="42" spans="1:21" x14ac:dyDescent="0.25">
      <c r="A42" s="16" t="s">
        <v>37</v>
      </c>
      <c r="B42" s="16" t="s">
        <v>269</v>
      </c>
      <c r="C42" s="16" t="s">
        <v>270</v>
      </c>
      <c r="D42" s="16" t="s">
        <v>38</v>
      </c>
      <c r="E42" s="16" t="s">
        <v>38</v>
      </c>
      <c r="F42" s="16" t="s">
        <v>38</v>
      </c>
      <c r="G42" s="16" t="s">
        <v>38</v>
      </c>
      <c r="H42" s="16" t="s">
        <v>41</v>
      </c>
      <c r="I42" s="16" t="s">
        <v>40</v>
      </c>
      <c r="J42" s="16" t="s">
        <v>64</v>
      </c>
      <c r="K42" s="16" t="s">
        <v>65</v>
      </c>
      <c r="L42" s="15">
        <v>-540000</v>
      </c>
      <c r="M42" s="15">
        <v>0</v>
      </c>
      <c r="N42" s="15">
        <v>-35564.000000000015</v>
      </c>
      <c r="O42" s="15">
        <v>-504436</v>
      </c>
      <c r="P42" s="15">
        <v>-504436</v>
      </c>
      <c r="Q42" s="15">
        <f t="shared" si="1"/>
        <v>-504436</v>
      </c>
      <c r="R42" s="36">
        <v>0</v>
      </c>
      <c r="S42" s="15">
        <f>SUM(Q42:R42)</f>
        <v>-504436</v>
      </c>
      <c r="T42" s="16"/>
      <c r="U42" s="16"/>
    </row>
    <row r="43" spans="1:21" x14ac:dyDescent="0.25">
      <c r="A43" s="16" t="s">
        <v>37</v>
      </c>
      <c r="B43" s="16" t="s">
        <v>269</v>
      </c>
      <c r="C43" s="16" t="s">
        <v>270</v>
      </c>
      <c r="D43" s="16" t="s">
        <v>38</v>
      </c>
      <c r="E43" s="16" t="s">
        <v>38</v>
      </c>
      <c r="F43" s="16" t="s">
        <v>38</v>
      </c>
      <c r="G43" s="16" t="s">
        <v>38</v>
      </c>
      <c r="H43" s="16" t="s">
        <v>41</v>
      </c>
      <c r="I43" s="16" t="s">
        <v>40</v>
      </c>
      <c r="J43" s="16" t="s">
        <v>66</v>
      </c>
      <c r="K43" s="16" t="s">
        <v>63</v>
      </c>
      <c r="L43" s="15">
        <v>-1284527.18</v>
      </c>
      <c r="M43" s="15">
        <v>-1284527.18</v>
      </c>
      <c r="N43" s="15">
        <v>-1284527.1800000002</v>
      </c>
      <c r="O43" s="15">
        <v>1.1641532182693481E-10</v>
      </c>
      <c r="P43" s="15">
        <v>0</v>
      </c>
      <c r="Q43" s="15">
        <f t="shared" si="1"/>
        <v>0</v>
      </c>
      <c r="R43" s="36">
        <v>0</v>
      </c>
      <c r="S43" s="15">
        <f t="shared" si="2"/>
        <v>0</v>
      </c>
      <c r="T43" s="16"/>
      <c r="U43" s="16"/>
    </row>
    <row r="44" spans="1:21" x14ac:dyDescent="0.25">
      <c r="A44" s="16" t="s">
        <v>37</v>
      </c>
      <c r="B44" s="16" t="s">
        <v>269</v>
      </c>
      <c r="C44" s="16" t="s">
        <v>270</v>
      </c>
      <c r="D44" s="16" t="s">
        <v>38</v>
      </c>
      <c r="E44" s="16" t="s">
        <v>38</v>
      </c>
      <c r="F44" s="16" t="s">
        <v>38</v>
      </c>
      <c r="G44" s="16" t="s">
        <v>38</v>
      </c>
      <c r="H44" s="16" t="s">
        <v>41</v>
      </c>
      <c r="I44" s="16" t="s">
        <v>40</v>
      </c>
      <c r="J44" s="16" t="s">
        <v>67</v>
      </c>
      <c r="K44" s="16" t="s">
        <v>68</v>
      </c>
      <c r="L44" s="15">
        <v>-300000</v>
      </c>
      <c r="M44" s="15">
        <v>0</v>
      </c>
      <c r="N44" s="15">
        <v>-42724</v>
      </c>
      <c r="O44" s="15">
        <v>-257276</v>
      </c>
      <c r="P44" s="15">
        <v>-257276</v>
      </c>
      <c r="Q44" s="15">
        <f t="shared" si="1"/>
        <v>-257276</v>
      </c>
      <c r="R44" s="36">
        <v>0</v>
      </c>
      <c r="S44" s="15">
        <f t="shared" si="2"/>
        <v>-257276</v>
      </c>
      <c r="T44" s="16"/>
      <c r="U44" s="16"/>
    </row>
    <row r="45" spans="1:21" x14ac:dyDescent="0.25">
      <c r="A45" s="16" t="s">
        <v>37</v>
      </c>
      <c r="B45" s="16" t="s">
        <v>269</v>
      </c>
      <c r="C45" s="16" t="s">
        <v>270</v>
      </c>
      <c r="D45" s="16" t="s">
        <v>38</v>
      </c>
      <c r="E45" s="16" t="s">
        <v>38</v>
      </c>
      <c r="F45" s="16" t="s">
        <v>38</v>
      </c>
      <c r="G45" s="16" t="s">
        <v>38</v>
      </c>
      <c r="H45" s="16" t="s">
        <v>41</v>
      </c>
      <c r="I45" s="16" t="s">
        <v>40</v>
      </c>
      <c r="J45" s="16" t="s">
        <v>69</v>
      </c>
      <c r="K45" s="16" t="s">
        <v>70</v>
      </c>
      <c r="L45" s="15">
        <v>-231920</v>
      </c>
      <c r="M45" s="15">
        <v>-231920</v>
      </c>
      <c r="N45" s="15">
        <v>-150030.16999999998</v>
      </c>
      <c r="O45" s="15">
        <v>-81889.83</v>
      </c>
      <c r="P45" s="15">
        <v>0</v>
      </c>
      <c r="Q45" s="15">
        <f t="shared" si="1"/>
        <v>0</v>
      </c>
      <c r="R45" s="36">
        <v>0</v>
      </c>
      <c r="S45" s="15">
        <f t="shared" si="2"/>
        <v>0</v>
      </c>
      <c r="T45" s="16"/>
      <c r="U45" s="15">
        <v>-81890</v>
      </c>
    </row>
    <row r="46" spans="1:21" x14ac:dyDescent="0.25">
      <c r="A46" s="16" t="s">
        <v>37</v>
      </c>
      <c r="B46" s="16" t="s">
        <v>267</v>
      </c>
      <c r="C46" s="16" t="s">
        <v>268</v>
      </c>
      <c r="D46" s="16" t="s">
        <v>38</v>
      </c>
      <c r="E46" s="16" t="s">
        <v>38</v>
      </c>
      <c r="F46" s="16" t="s">
        <v>38</v>
      </c>
      <c r="G46" s="16" t="s">
        <v>38</v>
      </c>
      <c r="H46" s="16" t="s">
        <v>41</v>
      </c>
      <c r="I46" s="16" t="s">
        <v>40</v>
      </c>
      <c r="J46" s="16" t="s">
        <v>71</v>
      </c>
      <c r="K46" s="16" t="s">
        <v>72</v>
      </c>
      <c r="L46" s="15">
        <v>-18000</v>
      </c>
      <c r="M46" s="15">
        <v>0</v>
      </c>
      <c r="N46" s="15">
        <v>0</v>
      </c>
      <c r="O46" s="15">
        <v>-18000</v>
      </c>
      <c r="P46" s="15">
        <v>-18000</v>
      </c>
      <c r="Q46" s="15">
        <f t="shared" si="1"/>
        <v>0</v>
      </c>
      <c r="R46" s="36">
        <v>-18000</v>
      </c>
      <c r="S46" s="15">
        <f t="shared" si="2"/>
        <v>-18000</v>
      </c>
      <c r="T46" s="16"/>
      <c r="U46" s="16"/>
    </row>
    <row r="47" spans="1:21" x14ac:dyDescent="0.25">
      <c r="A47" s="16" t="s">
        <v>37</v>
      </c>
      <c r="B47" s="16" t="s">
        <v>259</v>
      </c>
      <c r="C47" s="16" t="s">
        <v>260</v>
      </c>
      <c r="D47" s="16" t="s">
        <v>38</v>
      </c>
      <c r="E47" s="16" t="s">
        <v>38</v>
      </c>
      <c r="F47" s="16" t="s">
        <v>38</v>
      </c>
      <c r="G47" s="16" t="s">
        <v>38</v>
      </c>
      <c r="H47" s="16" t="s">
        <v>41</v>
      </c>
      <c r="I47" s="16" t="s">
        <v>40</v>
      </c>
      <c r="J47" s="16" t="s">
        <v>73</v>
      </c>
      <c r="K47" s="16" t="s">
        <v>74</v>
      </c>
      <c r="L47" s="15">
        <v>-656103.94999999995</v>
      </c>
      <c r="M47" s="15">
        <v>-656103.94999999995</v>
      </c>
      <c r="N47" s="15">
        <v>-656103.94999999995</v>
      </c>
      <c r="O47" s="15">
        <v>0</v>
      </c>
      <c r="P47" s="15">
        <v>0</v>
      </c>
      <c r="Q47" s="15">
        <f t="shared" si="1"/>
        <v>0</v>
      </c>
      <c r="R47" s="36">
        <v>0</v>
      </c>
      <c r="S47" s="15">
        <f t="shared" si="2"/>
        <v>0</v>
      </c>
      <c r="T47" s="16"/>
      <c r="U47" s="16"/>
    </row>
    <row r="48" spans="1:21" x14ac:dyDescent="0.25">
      <c r="A48" s="16" t="s">
        <v>37</v>
      </c>
      <c r="B48" s="16" t="s">
        <v>257</v>
      </c>
      <c r="C48" s="16" t="s">
        <v>258</v>
      </c>
      <c r="D48" s="16" t="s">
        <v>38</v>
      </c>
      <c r="E48" s="16" t="s">
        <v>38</v>
      </c>
      <c r="F48" s="16" t="s">
        <v>38</v>
      </c>
      <c r="G48" s="16" t="s">
        <v>38</v>
      </c>
      <c r="H48" s="16" t="s">
        <v>41</v>
      </c>
      <c r="I48" s="16" t="s">
        <v>40</v>
      </c>
      <c r="J48" s="16" t="s">
        <v>75</v>
      </c>
      <c r="K48" s="16" t="s">
        <v>76</v>
      </c>
      <c r="L48" s="15">
        <v>-758684</v>
      </c>
      <c r="M48" s="15">
        <v>0</v>
      </c>
      <c r="N48" s="15">
        <v>-758684</v>
      </c>
      <c r="O48" s="15">
        <v>0</v>
      </c>
      <c r="P48" s="15">
        <v>0</v>
      </c>
      <c r="Q48" s="15">
        <f t="shared" si="1"/>
        <v>0</v>
      </c>
      <c r="R48" s="36">
        <v>0</v>
      </c>
      <c r="S48" s="15">
        <f t="shared" si="2"/>
        <v>0</v>
      </c>
      <c r="T48" s="16"/>
      <c r="U48" s="26"/>
    </row>
    <row r="49" spans="1:21" x14ac:dyDescent="0.25">
      <c r="A49" s="16" t="s">
        <v>37</v>
      </c>
      <c r="B49" s="16" t="s">
        <v>271</v>
      </c>
      <c r="C49" s="16" t="s">
        <v>272</v>
      </c>
      <c r="D49" s="16" t="s">
        <v>38</v>
      </c>
      <c r="E49" s="16" t="s">
        <v>38</v>
      </c>
      <c r="F49" s="16" t="s">
        <v>38</v>
      </c>
      <c r="G49" s="16" t="s">
        <v>38</v>
      </c>
      <c r="H49" s="16" t="s">
        <v>41</v>
      </c>
      <c r="I49" s="16" t="s">
        <v>40</v>
      </c>
      <c r="J49" s="16" t="s">
        <v>77</v>
      </c>
      <c r="K49" s="16" t="s">
        <v>78</v>
      </c>
      <c r="L49" s="15">
        <v>-382000</v>
      </c>
      <c r="M49" s="15">
        <v>0</v>
      </c>
      <c r="N49" s="15">
        <v>-102870.6</v>
      </c>
      <c r="O49" s="15">
        <v>-279129.40000000002</v>
      </c>
      <c r="P49" s="15">
        <v>-279129.40000000002</v>
      </c>
      <c r="Q49" s="15">
        <f t="shared" si="1"/>
        <v>-0.40000000002328306</v>
      </c>
      <c r="R49" s="36">
        <v>-279129</v>
      </c>
      <c r="S49" s="15">
        <f t="shared" si="2"/>
        <v>-279129.40000000002</v>
      </c>
      <c r="T49" s="16"/>
      <c r="U49" s="16"/>
    </row>
    <row r="50" spans="1:21" x14ac:dyDescent="0.25">
      <c r="A50" s="16" t="s">
        <v>37</v>
      </c>
      <c r="B50" s="16" t="s">
        <v>259</v>
      </c>
      <c r="C50" s="16" t="s">
        <v>260</v>
      </c>
      <c r="D50" s="16" t="s">
        <v>38</v>
      </c>
      <c r="E50" s="16" t="s">
        <v>38</v>
      </c>
      <c r="F50" s="16" t="s">
        <v>38</v>
      </c>
      <c r="G50" s="16" t="s">
        <v>38</v>
      </c>
      <c r="H50" s="16" t="s">
        <v>41</v>
      </c>
      <c r="I50" s="16" t="s">
        <v>40</v>
      </c>
      <c r="J50" s="16" t="s">
        <v>79</v>
      </c>
      <c r="K50" s="16" t="s">
        <v>80</v>
      </c>
      <c r="L50" s="15">
        <v>-35000.000200000002</v>
      </c>
      <c r="M50" s="15">
        <v>0</v>
      </c>
      <c r="N50" s="15">
        <v>-21800</v>
      </c>
      <c r="O50" s="15">
        <v>-13200.000200000002</v>
      </c>
      <c r="P50" s="15">
        <v>-13200.000200000002</v>
      </c>
      <c r="Q50" s="15">
        <f t="shared" si="1"/>
        <v>-13200.000200000002</v>
      </c>
      <c r="R50" s="36">
        <v>0</v>
      </c>
      <c r="S50" s="15">
        <f t="shared" si="2"/>
        <v>-13200.000200000002</v>
      </c>
      <c r="T50" s="16"/>
      <c r="U50" s="16"/>
    </row>
    <row r="51" spans="1:21" x14ac:dyDescent="0.25">
      <c r="A51" s="16" t="s">
        <v>37</v>
      </c>
      <c r="B51" s="16" t="s">
        <v>271</v>
      </c>
      <c r="C51" s="16" t="s">
        <v>272</v>
      </c>
      <c r="D51" s="16" t="s">
        <v>38</v>
      </c>
      <c r="E51" s="16" t="s">
        <v>38</v>
      </c>
      <c r="F51" s="16" t="s">
        <v>38</v>
      </c>
      <c r="G51" s="16" t="s">
        <v>38</v>
      </c>
      <c r="H51" s="16" t="s">
        <v>41</v>
      </c>
      <c r="I51" s="16" t="s">
        <v>40</v>
      </c>
      <c r="J51" s="16" t="s">
        <v>79</v>
      </c>
      <c r="K51" s="16" t="s">
        <v>80</v>
      </c>
      <c r="L51" s="15">
        <v>-754999.99999000004</v>
      </c>
      <c r="M51" s="15">
        <v>0</v>
      </c>
      <c r="N51" s="15">
        <v>-135293.4</v>
      </c>
      <c r="O51" s="15">
        <v>-619706.59999000002</v>
      </c>
      <c r="P51" s="15">
        <v>-619706.59999000002</v>
      </c>
      <c r="Q51" s="15">
        <f t="shared" si="1"/>
        <v>0.40000999998301268</v>
      </c>
      <c r="R51" s="36">
        <v>-619707</v>
      </c>
      <c r="S51" s="15">
        <f t="shared" si="2"/>
        <v>-619706.59999000002</v>
      </c>
      <c r="T51" s="16"/>
      <c r="U51" s="16"/>
    </row>
    <row r="52" spans="1:21" x14ac:dyDescent="0.25">
      <c r="A52" s="16" t="s">
        <v>37</v>
      </c>
      <c r="B52" s="16" t="s">
        <v>269</v>
      </c>
      <c r="C52" s="16" t="s">
        <v>270</v>
      </c>
      <c r="D52" s="16" t="s">
        <v>81</v>
      </c>
      <c r="E52" s="16" t="s">
        <v>82</v>
      </c>
      <c r="F52" s="16" t="s">
        <v>83</v>
      </c>
      <c r="G52" s="16" t="s">
        <v>84</v>
      </c>
      <c r="H52" s="16" t="s">
        <v>85</v>
      </c>
      <c r="I52" s="16" t="s">
        <v>40</v>
      </c>
      <c r="J52" s="16" t="s">
        <v>38</v>
      </c>
      <c r="K52" s="16" t="s">
        <v>293</v>
      </c>
      <c r="L52" s="15">
        <v>-2858</v>
      </c>
      <c r="M52" s="15">
        <v>0</v>
      </c>
      <c r="N52" s="15">
        <v>0</v>
      </c>
      <c r="O52" s="15">
        <v>-2858</v>
      </c>
      <c r="P52" s="15">
        <v>-2858</v>
      </c>
      <c r="Q52" s="15">
        <v>0</v>
      </c>
      <c r="R52" s="36">
        <v>0</v>
      </c>
      <c r="S52" s="15">
        <f t="shared" si="2"/>
        <v>0</v>
      </c>
      <c r="T52" s="16"/>
      <c r="U52" s="16"/>
    </row>
    <row r="53" spans="1:21" x14ac:dyDescent="0.25">
      <c r="A53" s="16" t="s">
        <v>37</v>
      </c>
      <c r="B53" s="16" t="s">
        <v>257</v>
      </c>
      <c r="C53" s="16" t="s">
        <v>258</v>
      </c>
      <c r="D53" s="16" t="s">
        <v>81</v>
      </c>
      <c r="E53" s="16" t="s">
        <v>82</v>
      </c>
      <c r="F53" s="16" t="s">
        <v>83</v>
      </c>
      <c r="G53" s="16" t="s">
        <v>84</v>
      </c>
      <c r="H53" s="16" t="s">
        <v>85</v>
      </c>
      <c r="I53" s="16" t="s">
        <v>40</v>
      </c>
      <c r="J53" s="16" t="s">
        <v>38</v>
      </c>
      <c r="K53" s="16" t="s">
        <v>293</v>
      </c>
      <c r="L53" s="15">
        <v>-8162.4999999464872</v>
      </c>
      <c r="M53" s="15">
        <v>0</v>
      </c>
      <c r="N53" s="15">
        <v>-8162.5</v>
      </c>
      <c r="O53" s="15">
        <v>5.3512849262915552E-8</v>
      </c>
      <c r="P53" s="15">
        <v>0</v>
      </c>
      <c r="Q53" s="15">
        <f t="shared" si="1"/>
        <v>0</v>
      </c>
      <c r="R53" s="36">
        <v>0</v>
      </c>
      <c r="S53" s="15">
        <f t="shared" si="2"/>
        <v>0</v>
      </c>
      <c r="T53" s="16"/>
      <c r="U53" s="26"/>
    </row>
    <row r="54" spans="1:21" x14ac:dyDescent="0.25">
      <c r="A54" s="16" t="s">
        <v>37</v>
      </c>
      <c r="B54" s="16" t="s">
        <v>269</v>
      </c>
      <c r="C54" s="16" t="s">
        <v>270</v>
      </c>
      <c r="D54" s="16" t="s">
        <v>81</v>
      </c>
      <c r="E54" s="16" t="s">
        <v>82</v>
      </c>
      <c r="F54" s="16" t="s">
        <v>86</v>
      </c>
      <c r="G54" s="16" t="s">
        <v>87</v>
      </c>
      <c r="H54" s="16" t="s">
        <v>85</v>
      </c>
      <c r="I54" s="16" t="s">
        <v>40</v>
      </c>
      <c r="J54" s="16" t="s">
        <v>38</v>
      </c>
      <c r="K54" s="16" t="s">
        <v>293</v>
      </c>
      <c r="L54" s="15">
        <v>-22505.000000000007</v>
      </c>
      <c r="M54" s="15">
        <v>0</v>
      </c>
      <c r="N54" s="15">
        <v>0</v>
      </c>
      <c r="O54" s="15">
        <v>-22505.000000000007</v>
      </c>
      <c r="P54" s="15">
        <v>-22505.000000000007</v>
      </c>
      <c r="Q54" s="15">
        <v>0</v>
      </c>
      <c r="R54" s="36">
        <v>0</v>
      </c>
      <c r="S54" s="15">
        <f t="shared" si="2"/>
        <v>0</v>
      </c>
      <c r="T54" s="16"/>
      <c r="U54" s="16"/>
    </row>
    <row r="55" spans="1:21" x14ac:dyDescent="0.25">
      <c r="A55" s="16" t="s">
        <v>37</v>
      </c>
      <c r="B55" s="16" t="s">
        <v>257</v>
      </c>
      <c r="C55" s="16" t="s">
        <v>258</v>
      </c>
      <c r="D55" s="16" t="s">
        <v>81</v>
      </c>
      <c r="E55" s="16" t="s">
        <v>82</v>
      </c>
      <c r="F55" s="16" t="s">
        <v>86</v>
      </c>
      <c r="G55" s="16" t="s">
        <v>87</v>
      </c>
      <c r="H55" s="16" t="s">
        <v>85</v>
      </c>
      <c r="I55" s="16" t="s">
        <v>40</v>
      </c>
      <c r="J55" s="16" t="s">
        <v>38</v>
      </c>
      <c r="K55" s="16" t="s">
        <v>293</v>
      </c>
      <c r="L55" s="15">
        <v>-28568.74999957862</v>
      </c>
      <c r="M55" s="15">
        <v>0</v>
      </c>
      <c r="N55" s="15">
        <v>-28568.75</v>
      </c>
      <c r="O55" s="15">
        <v>4.2137980926781893E-7</v>
      </c>
      <c r="P55" s="15">
        <v>0</v>
      </c>
      <c r="Q55" s="15">
        <f t="shared" si="1"/>
        <v>0</v>
      </c>
      <c r="R55" s="36">
        <v>0</v>
      </c>
      <c r="S55" s="15">
        <f t="shared" si="2"/>
        <v>0</v>
      </c>
      <c r="T55" s="16"/>
      <c r="U55" s="26"/>
    </row>
    <row r="56" spans="1:21" x14ac:dyDescent="0.25">
      <c r="A56" s="16" t="s">
        <v>37</v>
      </c>
      <c r="B56" s="16" t="s">
        <v>257</v>
      </c>
      <c r="C56" s="16" t="s">
        <v>258</v>
      </c>
      <c r="D56" s="16" t="s">
        <v>81</v>
      </c>
      <c r="E56" s="16" t="s">
        <v>82</v>
      </c>
      <c r="F56" s="16" t="s">
        <v>88</v>
      </c>
      <c r="G56" s="16" t="s">
        <v>89</v>
      </c>
      <c r="H56" s="16" t="s">
        <v>85</v>
      </c>
      <c r="I56" s="16" t="s">
        <v>40</v>
      </c>
      <c r="J56" s="16" t="s">
        <v>38</v>
      </c>
      <c r="K56" s="16" t="s">
        <v>293</v>
      </c>
      <c r="L56" s="15">
        <v>-4081.2499999147876</v>
      </c>
      <c r="M56" s="15">
        <v>0</v>
      </c>
      <c r="N56" s="15">
        <v>-4081.25</v>
      </c>
      <c r="O56" s="15">
        <v>8.5212377598509192E-8</v>
      </c>
      <c r="P56" s="15">
        <v>0</v>
      </c>
      <c r="Q56" s="15">
        <f t="shared" si="1"/>
        <v>0</v>
      </c>
      <c r="R56" s="36">
        <v>0</v>
      </c>
      <c r="S56" s="15">
        <f t="shared" si="2"/>
        <v>0</v>
      </c>
      <c r="T56" s="16"/>
      <c r="U56" s="26"/>
    </row>
    <row r="57" spans="1:21" x14ac:dyDescent="0.25">
      <c r="A57" s="16" t="s">
        <v>37</v>
      </c>
      <c r="B57" s="16" t="s">
        <v>269</v>
      </c>
      <c r="C57" s="16" t="s">
        <v>270</v>
      </c>
      <c r="D57" s="16" t="s">
        <v>81</v>
      </c>
      <c r="E57" s="16" t="s">
        <v>82</v>
      </c>
      <c r="F57" s="16" t="s">
        <v>88</v>
      </c>
      <c r="G57" s="16" t="s">
        <v>89</v>
      </c>
      <c r="H57" s="16" t="s">
        <v>85</v>
      </c>
      <c r="I57" s="16" t="s">
        <v>40</v>
      </c>
      <c r="J57" s="16" t="s">
        <v>38</v>
      </c>
      <c r="K57" s="16" t="s">
        <v>293</v>
      </c>
      <c r="L57" s="15">
        <v>-4551</v>
      </c>
      <c r="M57" s="15">
        <v>0</v>
      </c>
      <c r="N57" s="15">
        <v>0</v>
      </c>
      <c r="O57" s="15">
        <v>-4551</v>
      </c>
      <c r="P57" s="15">
        <v>-4551</v>
      </c>
      <c r="Q57" s="15">
        <v>0</v>
      </c>
      <c r="R57" s="36">
        <v>0</v>
      </c>
      <c r="S57" s="15">
        <f t="shared" si="2"/>
        <v>0</v>
      </c>
      <c r="T57" s="16"/>
      <c r="U57" s="16"/>
    </row>
    <row r="58" spans="1:21" x14ac:dyDescent="0.25">
      <c r="A58" s="16" t="s">
        <v>37</v>
      </c>
      <c r="B58" s="16" t="s">
        <v>269</v>
      </c>
      <c r="C58" s="16" t="s">
        <v>270</v>
      </c>
      <c r="D58" s="16" t="s">
        <v>81</v>
      </c>
      <c r="E58" s="16" t="s">
        <v>82</v>
      </c>
      <c r="F58" s="16" t="s">
        <v>90</v>
      </c>
      <c r="G58" s="16" t="s">
        <v>91</v>
      </c>
      <c r="H58" s="16" t="s">
        <v>85</v>
      </c>
      <c r="I58" s="16" t="s">
        <v>40</v>
      </c>
      <c r="J58" s="16" t="s">
        <v>38</v>
      </c>
      <c r="K58" s="16" t="s">
        <v>293</v>
      </c>
      <c r="L58" s="15">
        <v>-940.99999999999977</v>
      </c>
      <c r="M58" s="15">
        <v>0</v>
      </c>
      <c r="N58" s="15">
        <v>0</v>
      </c>
      <c r="O58" s="15">
        <v>-940.99999999999977</v>
      </c>
      <c r="P58" s="15">
        <v>-940.99999999999977</v>
      </c>
      <c r="Q58" s="15">
        <v>0</v>
      </c>
      <c r="R58" s="36">
        <v>0</v>
      </c>
      <c r="S58" s="15">
        <f t="shared" si="2"/>
        <v>0</v>
      </c>
      <c r="T58" s="16"/>
      <c r="U58" s="16"/>
    </row>
    <row r="59" spans="1:21" x14ac:dyDescent="0.25">
      <c r="A59" s="16" t="s">
        <v>37</v>
      </c>
      <c r="B59" s="16" t="s">
        <v>257</v>
      </c>
      <c r="C59" s="16" t="s">
        <v>258</v>
      </c>
      <c r="D59" s="16" t="s">
        <v>81</v>
      </c>
      <c r="E59" s="16" t="s">
        <v>82</v>
      </c>
      <c r="F59" s="16" t="s">
        <v>90</v>
      </c>
      <c r="G59" s="16" t="s">
        <v>91</v>
      </c>
      <c r="H59" s="16" t="s">
        <v>85</v>
      </c>
      <c r="I59" s="16" t="s">
        <v>40</v>
      </c>
      <c r="J59" s="16" t="s">
        <v>38</v>
      </c>
      <c r="K59" s="16" t="s">
        <v>293</v>
      </c>
      <c r="L59" s="15">
        <v>-4081.2499999823808</v>
      </c>
      <c r="M59" s="15">
        <v>0</v>
      </c>
      <c r="N59" s="15">
        <v>-4081.25</v>
      </c>
      <c r="O59" s="15">
        <v>1.7619186110096052E-8</v>
      </c>
      <c r="P59" s="15">
        <v>0</v>
      </c>
      <c r="Q59" s="15">
        <f t="shared" si="1"/>
        <v>0</v>
      </c>
      <c r="R59" s="36">
        <v>0</v>
      </c>
      <c r="S59" s="15">
        <f t="shared" si="2"/>
        <v>0</v>
      </c>
      <c r="T59" s="16"/>
      <c r="U59" s="26"/>
    </row>
    <row r="60" spans="1:21" x14ac:dyDescent="0.25">
      <c r="A60" s="16" t="s">
        <v>37</v>
      </c>
      <c r="B60" s="16" t="s">
        <v>269</v>
      </c>
      <c r="C60" s="16" t="s">
        <v>270</v>
      </c>
      <c r="D60" s="16" t="s">
        <v>81</v>
      </c>
      <c r="E60" s="16" t="s">
        <v>82</v>
      </c>
      <c r="F60" s="16" t="s">
        <v>92</v>
      </c>
      <c r="G60" s="16" t="s">
        <v>93</v>
      </c>
      <c r="H60" s="16" t="s">
        <v>85</v>
      </c>
      <c r="I60" s="16" t="s">
        <v>40</v>
      </c>
      <c r="J60" s="16" t="s">
        <v>38</v>
      </c>
      <c r="K60" s="16" t="s">
        <v>293</v>
      </c>
      <c r="L60" s="15">
        <v>-2815</v>
      </c>
      <c r="M60" s="15">
        <v>0</v>
      </c>
      <c r="N60" s="15">
        <v>0</v>
      </c>
      <c r="O60" s="15">
        <v>-2815</v>
      </c>
      <c r="P60" s="15">
        <v>-2815</v>
      </c>
      <c r="Q60" s="15">
        <v>0</v>
      </c>
      <c r="R60" s="36">
        <v>0</v>
      </c>
      <c r="S60" s="15">
        <f t="shared" si="2"/>
        <v>0</v>
      </c>
      <c r="T60" s="16"/>
      <c r="U60" s="16"/>
    </row>
    <row r="61" spans="1:21" x14ac:dyDescent="0.25">
      <c r="A61" s="16" t="s">
        <v>37</v>
      </c>
      <c r="B61" s="16" t="s">
        <v>257</v>
      </c>
      <c r="C61" s="16" t="s">
        <v>258</v>
      </c>
      <c r="D61" s="16" t="s">
        <v>81</v>
      </c>
      <c r="E61" s="16" t="s">
        <v>82</v>
      </c>
      <c r="F61" s="16" t="s">
        <v>92</v>
      </c>
      <c r="G61" s="16" t="s">
        <v>93</v>
      </c>
      <c r="H61" s="16" t="s">
        <v>85</v>
      </c>
      <c r="I61" s="16" t="s">
        <v>40</v>
      </c>
      <c r="J61" s="16" t="s">
        <v>38</v>
      </c>
      <c r="K61" s="16" t="s">
        <v>293</v>
      </c>
      <c r="L61" s="15">
        <v>5.270794645184651E-8</v>
      </c>
      <c r="M61" s="15">
        <v>0</v>
      </c>
      <c r="N61" s="15">
        <v>0</v>
      </c>
      <c r="O61" s="15">
        <v>5.270794645184651E-8</v>
      </c>
      <c r="P61" s="15">
        <v>0</v>
      </c>
      <c r="Q61" s="15">
        <f t="shared" si="1"/>
        <v>0</v>
      </c>
      <c r="R61" s="36">
        <v>0</v>
      </c>
      <c r="S61" s="15">
        <f t="shared" si="2"/>
        <v>0</v>
      </c>
      <c r="T61" s="16"/>
      <c r="U61" s="26"/>
    </row>
    <row r="62" spans="1:21" x14ac:dyDescent="0.25">
      <c r="A62" s="16" t="s">
        <v>37</v>
      </c>
      <c r="B62" s="16" t="s">
        <v>269</v>
      </c>
      <c r="C62" s="16" t="s">
        <v>270</v>
      </c>
      <c r="D62" s="16" t="s">
        <v>81</v>
      </c>
      <c r="E62" s="16" t="s">
        <v>82</v>
      </c>
      <c r="F62" s="16" t="s">
        <v>94</v>
      </c>
      <c r="G62" s="16" t="s">
        <v>95</v>
      </c>
      <c r="H62" s="16" t="s">
        <v>85</v>
      </c>
      <c r="I62" s="16" t="s">
        <v>40</v>
      </c>
      <c r="J62" s="16" t="s">
        <v>38</v>
      </c>
      <c r="K62" s="16" t="s">
        <v>293</v>
      </c>
      <c r="L62" s="15">
        <v>-36854.999999999993</v>
      </c>
      <c r="M62" s="15">
        <v>0</v>
      </c>
      <c r="N62" s="15">
        <v>0</v>
      </c>
      <c r="O62" s="15">
        <v>-36854.999999999993</v>
      </c>
      <c r="P62" s="15">
        <v>-36854.999999999993</v>
      </c>
      <c r="Q62" s="15">
        <v>0</v>
      </c>
      <c r="R62" s="36">
        <v>0</v>
      </c>
      <c r="S62" s="15">
        <f t="shared" si="2"/>
        <v>0</v>
      </c>
      <c r="T62" s="16"/>
      <c r="U62" s="16"/>
    </row>
    <row r="63" spans="1:21" x14ac:dyDescent="0.25">
      <c r="A63" s="16" t="s">
        <v>37</v>
      </c>
      <c r="B63" s="16" t="s">
        <v>257</v>
      </c>
      <c r="C63" s="16" t="s">
        <v>258</v>
      </c>
      <c r="D63" s="16" t="s">
        <v>81</v>
      </c>
      <c r="E63" s="16" t="s">
        <v>82</v>
      </c>
      <c r="F63" s="16" t="s">
        <v>94</v>
      </c>
      <c r="G63" s="16" t="s">
        <v>95</v>
      </c>
      <c r="H63" s="16" t="s">
        <v>85</v>
      </c>
      <c r="I63" s="16" t="s">
        <v>40</v>
      </c>
      <c r="J63" s="16" t="s">
        <v>38</v>
      </c>
      <c r="K63" s="16" t="s">
        <v>293</v>
      </c>
      <c r="L63" s="15">
        <v>-4081.2499993099336</v>
      </c>
      <c r="M63" s="15">
        <v>0</v>
      </c>
      <c r="N63" s="15">
        <v>-4081.25</v>
      </c>
      <c r="O63" s="15">
        <v>6.9006637204438448E-7</v>
      </c>
      <c r="P63" s="15">
        <v>0</v>
      </c>
      <c r="Q63" s="15">
        <f t="shared" si="1"/>
        <v>0</v>
      </c>
      <c r="R63" s="36">
        <v>0</v>
      </c>
      <c r="S63" s="15">
        <f t="shared" si="2"/>
        <v>0</v>
      </c>
      <c r="T63" s="16"/>
      <c r="U63" s="26"/>
    </row>
    <row r="64" spans="1:21" x14ac:dyDescent="0.25">
      <c r="A64" s="16" t="s">
        <v>37</v>
      </c>
      <c r="B64" s="16" t="s">
        <v>269</v>
      </c>
      <c r="C64" s="16" t="s">
        <v>270</v>
      </c>
      <c r="D64" s="16" t="s">
        <v>81</v>
      </c>
      <c r="E64" s="16" t="s">
        <v>82</v>
      </c>
      <c r="F64" s="16" t="s">
        <v>96</v>
      </c>
      <c r="G64" s="16" t="s">
        <v>97</v>
      </c>
      <c r="H64" s="16" t="s">
        <v>85</v>
      </c>
      <c r="I64" s="16" t="s">
        <v>40</v>
      </c>
      <c r="J64" s="16" t="s">
        <v>38</v>
      </c>
      <c r="K64" s="16" t="s">
        <v>293</v>
      </c>
      <c r="L64" s="15">
        <v>-1277.0000000000002</v>
      </c>
      <c r="M64" s="15">
        <v>0</v>
      </c>
      <c r="N64" s="15">
        <v>0</v>
      </c>
      <c r="O64" s="15">
        <v>-1277.0000000000002</v>
      </c>
      <c r="P64" s="15">
        <v>-1277.0000000000002</v>
      </c>
      <c r="Q64" s="15">
        <v>0</v>
      </c>
      <c r="R64" s="36">
        <v>0</v>
      </c>
      <c r="S64" s="15">
        <f t="shared" si="2"/>
        <v>0</v>
      </c>
      <c r="T64" s="16"/>
      <c r="U64" s="16"/>
    </row>
    <row r="65" spans="1:23" x14ac:dyDescent="0.25">
      <c r="A65" s="16" t="s">
        <v>37</v>
      </c>
      <c r="B65" s="16" t="s">
        <v>257</v>
      </c>
      <c r="C65" s="16" t="s">
        <v>258</v>
      </c>
      <c r="D65" s="16" t="s">
        <v>81</v>
      </c>
      <c r="E65" s="16" t="s">
        <v>82</v>
      </c>
      <c r="F65" s="16" t="s">
        <v>96</v>
      </c>
      <c r="G65" s="16" t="s">
        <v>97</v>
      </c>
      <c r="H65" s="16" t="s">
        <v>85</v>
      </c>
      <c r="I65" s="16" t="s">
        <v>40</v>
      </c>
      <c r="J65" s="16" t="s">
        <v>38</v>
      </c>
      <c r="K65" s="16" t="s">
        <v>293</v>
      </c>
      <c r="L65" s="15">
        <v>-4081.2499999760903</v>
      </c>
      <c r="M65" s="15">
        <v>0</v>
      </c>
      <c r="N65" s="15">
        <v>-4081.25</v>
      </c>
      <c r="O65" s="15">
        <v>2.390970621490851E-8</v>
      </c>
      <c r="P65" s="15">
        <v>0</v>
      </c>
      <c r="Q65" s="15">
        <f t="shared" si="1"/>
        <v>0</v>
      </c>
      <c r="R65" s="36">
        <v>0</v>
      </c>
      <c r="S65" s="15">
        <f t="shared" si="2"/>
        <v>0</v>
      </c>
      <c r="T65" s="16"/>
      <c r="U65" s="26"/>
    </row>
    <row r="66" spans="1:23" x14ac:dyDescent="0.25">
      <c r="A66" s="16" t="s">
        <v>37</v>
      </c>
      <c r="B66" s="16" t="s">
        <v>269</v>
      </c>
      <c r="C66" s="16" t="s">
        <v>270</v>
      </c>
      <c r="D66" s="16" t="s">
        <v>81</v>
      </c>
      <c r="E66" s="16" t="s">
        <v>82</v>
      </c>
      <c r="F66" s="16" t="s">
        <v>98</v>
      </c>
      <c r="G66" s="16" t="s">
        <v>99</v>
      </c>
      <c r="H66" s="16" t="s">
        <v>85</v>
      </c>
      <c r="I66" s="16" t="s">
        <v>40</v>
      </c>
      <c r="J66" s="16" t="s">
        <v>38</v>
      </c>
      <c r="K66" s="16" t="s">
        <v>293</v>
      </c>
      <c r="L66" s="15">
        <v>-1354.0000000000002</v>
      </c>
      <c r="M66" s="15">
        <v>0</v>
      </c>
      <c r="N66" s="15">
        <v>0</v>
      </c>
      <c r="O66" s="15">
        <v>-1354.0000000000002</v>
      </c>
      <c r="P66" s="15">
        <v>-1354.0000000000002</v>
      </c>
      <c r="Q66" s="15">
        <v>0</v>
      </c>
      <c r="R66" s="36">
        <v>0</v>
      </c>
      <c r="S66" s="15">
        <f t="shared" si="2"/>
        <v>0</v>
      </c>
      <c r="T66" s="16"/>
      <c r="U66" s="16"/>
    </row>
    <row r="67" spans="1:23" x14ac:dyDescent="0.25">
      <c r="A67" s="16" t="s">
        <v>37</v>
      </c>
      <c r="B67" s="16" t="s">
        <v>257</v>
      </c>
      <c r="C67" s="16" t="s">
        <v>258</v>
      </c>
      <c r="D67" s="16" t="s">
        <v>81</v>
      </c>
      <c r="E67" s="16" t="s">
        <v>82</v>
      </c>
      <c r="F67" s="16" t="s">
        <v>98</v>
      </c>
      <c r="G67" s="16" t="s">
        <v>99</v>
      </c>
      <c r="H67" s="16" t="s">
        <v>85</v>
      </c>
      <c r="I67" s="16" t="s">
        <v>40</v>
      </c>
      <c r="J67" s="16" t="s">
        <v>38</v>
      </c>
      <c r="K67" s="16" t="s">
        <v>293</v>
      </c>
      <c r="L67" s="15">
        <v>-4081.2499999746478</v>
      </c>
      <c r="M67" s="15">
        <v>0</v>
      </c>
      <c r="N67" s="15">
        <v>-4081.25</v>
      </c>
      <c r="O67" s="15">
        <v>2.5351937438244931E-8</v>
      </c>
      <c r="P67" s="15">
        <v>0</v>
      </c>
      <c r="Q67" s="15">
        <f t="shared" si="1"/>
        <v>0</v>
      </c>
      <c r="R67" s="36">
        <v>0</v>
      </c>
      <c r="S67" s="15">
        <f t="shared" si="2"/>
        <v>0</v>
      </c>
      <c r="T67" s="16"/>
      <c r="U67" s="26"/>
    </row>
    <row r="68" spans="1:23" x14ac:dyDescent="0.25">
      <c r="A68" s="16" t="s">
        <v>37</v>
      </c>
      <c r="B68" s="16" t="s">
        <v>269</v>
      </c>
      <c r="C68" s="16" t="s">
        <v>270</v>
      </c>
      <c r="D68" s="16" t="s">
        <v>100</v>
      </c>
      <c r="E68" s="16" t="s">
        <v>101</v>
      </c>
      <c r="F68" s="16" t="s">
        <v>102</v>
      </c>
      <c r="G68" s="16" t="s">
        <v>103</v>
      </c>
      <c r="H68" s="16" t="s">
        <v>85</v>
      </c>
      <c r="I68" s="16" t="s">
        <v>40</v>
      </c>
      <c r="J68" s="16" t="s">
        <v>130</v>
      </c>
      <c r="K68" s="16" t="s">
        <v>131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f>P367+P384</f>
        <v>-541.61997955651168</v>
      </c>
      <c r="R68" s="36">
        <v>0</v>
      </c>
      <c r="S68" s="15">
        <f t="shared" ref="S68:S69" si="3">SUM(Q68:R68)</f>
        <v>-541.61997955651168</v>
      </c>
      <c r="T68" s="16"/>
      <c r="U68" s="16"/>
      <c r="W68" s="4"/>
    </row>
    <row r="69" spans="1:23" x14ac:dyDescent="0.25">
      <c r="A69" s="16" t="s">
        <v>37</v>
      </c>
      <c r="B69" s="16" t="s">
        <v>269</v>
      </c>
      <c r="C69" s="16" t="s">
        <v>270</v>
      </c>
      <c r="D69" s="16" t="s">
        <v>100</v>
      </c>
      <c r="E69" s="16" t="s">
        <v>101</v>
      </c>
      <c r="F69" s="16" t="s">
        <v>102</v>
      </c>
      <c r="G69" s="16" t="s">
        <v>103</v>
      </c>
      <c r="H69" s="16" t="s">
        <v>85</v>
      </c>
      <c r="I69" s="16" t="s">
        <v>40</v>
      </c>
      <c r="J69" s="16" t="s">
        <v>64</v>
      </c>
      <c r="K69" s="16" t="s">
        <v>65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f>P376+P391</f>
        <v>-403300.54898752528</v>
      </c>
      <c r="R69" s="36">
        <v>0</v>
      </c>
      <c r="S69" s="15">
        <f t="shared" si="3"/>
        <v>-403300.54898752528</v>
      </c>
      <c r="T69" s="16"/>
      <c r="U69" s="16"/>
      <c r="W69" s="4"/>
    </row>
    <row r="70" spans="1:23" x14ac:dyDescent="0.25">
      <c r="A70" s="16" t="s">
        <v>37</v>
      </c>
      <c r="B70" s="16" t="s">
        <v>269</v>
      </c>
      <c r="C70" s="16" t="s">
        <v>270</v>
      </c>
      <c r="D70" s="16" t="s">
        <v>100</v>
      </c>
      <c r="E70" s="16" t="s">
        <v>101</v>
      </c>
      <c r="F70" s="16" t="s">
        <v>102</v>
      </c>
      <c r="G70" s="16" t="s">
        <v>103</v>
      </c>
      <c r="H70" s="16" t="s">
        <v>85</v>
      </c>
      <c r="I70" s="16" t="s">
        <v>40</v>
      </c>
      <c r="K70" s="16" t="s">
        <v>293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f>P52+P58+P60+P64+P66-175</f>
        <v>-9420</v>
      </c>
      <c r="R70" s="36">
        <v>0</v>
      </c>
      <c r="S70" s="15">
        <f t="shared" si="2"/>
        <v>-9420</v>
      </c>
      <c r="T70" s="16"/>
      <c r="U70" s="16"/>
      <c r="W70" s="4"/>
    </row>
    <row r="71" spans="1:23" x14ac:dyDescent="0.25">
      <c r="A71" s="16" t="s">
        <v>37</v>
      </c>
      <c r="B71" s="16" t="s">
        <v>257</v>
      </c>
      <c r="C71" s="16" t="s">
        <v>258</v>
      </c>
      <c r="D71" s="16" t="s">
        <v>100</v>
      </c>
      <c r="E71" s="16" t="s">
        <v>101</v>
      </c>
      <c r="F71" s="16" t="s">
        <v>102</v>
      </c>
      <c r="G71" s="16" t="s">
        <v>103</v>
      </c>
      <c r="H71" s="16" t="s">
        <v>85</v>
      </c>
      <c r="I71" s="16" t="s">
        <v>40</v>
      </c>
      <c r="J71" s="16" t="s">
        <v>298</v>
      </c>
      <c r="K71" s="16" t="s">
        <v>299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f>P373</f>
        <v>-1950.2568096376012</v>
      </c>
      <c r="R71" s="36"/>
      <c r="S71" s="15">
        <f t="shared" ref="S71:S72" si="4">SUM(Q71:R71)</f>
        <v>-1950.2568096376012</v>
      </c>
      <c r="T71" s="16"/>
      <c r="U71" s="26"/>
    </row>
    <row r="72" spans="1:23" x14ac:dyDescent="0.25">
      <c r="A72" s="16" t="s">
        <v>37</v>
      </c>
      <c r="B72" s="16" t="s">
        <v>257</v>
      </c>
      <c r="C72" s="16" t="s">
        <v>258</v>
      </c>
      <c r="D72" s="16" t="s">
        <v>100</v>
      </c>
      <c r="E72" s="16" t="s">
        <v>101</v>
      </c>
      <c r="F72" s="16" t="s">
        <v>102</v>
      </c>
      <c r="G72" s="16" t="s">
        <v>103</v>
      </c>
      <c r="H72" s="16" t="s">
        <v>85</v>
      </c>
      <c r="I72" s="16" t="s">
        <v>40</v>
      </c>
      <c r="J72" s="16" t="s">
        <v>67</v>
      </c>
      <c r="K72" s="16" t="s">
        <v>68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f>P378</f>
        <v>-3025</v>
      </c>
      <c r="R72" s="36"/>
      <c r="S72" s="15">
        <f t="shared" si="4"/>
        <v>-3025</v>
      </c>
      <c r="T72" s="16"/>
      <c r="U72" s="26"/>
    </row>
    <row r="73" spans="1:23" x14ac:dyDescent="0.25">
      <c r="A73" s="16" t="s">
        <v>37</v>
      </c>
      <c r="B73" s="16" t="s">
        <v>257</v>
      </c>
      <c r="C73" s="16" t="s">
        <v>258</v>
      </c>
      <c r="D73" s="16" t="s">
        <v>100</v>
      </c>
      <c r="E73" s="16" t="s">
        <v>101</v>
      </c>
      <c r="F73" s="16" t="s">
        <v>102</v>
      </c>
      <c r="G73" s="16" t="s">
        <v>103</v>
      </c>
      <c r="H73" s="16" t="s">
        <v>85</v>
      </c>
      <c r="I73" s="16" t="s">
        <v>40</v>
      </c>
      <c r="K73" s="16" t="s">
        <v>293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5">
        <f>P54+P57+P62+175+P464+P467+P469+P382+P396-396936+0.41+805753.23</f>
        <v>-71822.577963135554</v>
      </c>
      <c r="R73" s="36"/>
      <c r="S73" s="15">
        <f t="shared" si="2"/>
        <v>-71822.577963135554</v>
      </c>
      <c r="T73" s="16"/>
      <c r="U73" s="26"/>
    </row>
    <row r="74" spans="1:23" x14ac:dyDescent="0.25">
      <c r="A74" s="16" t="s">
        <v>37</v>
      </c>
      <c r="B74" s="16" t="s">
        <v>269</v>
      </c>
      <c r="C74" s="16" t="s">
        <v>270</v>
      </c>
      <c r="D74" s="16" t="s">
        <v>104</v>
      </c>
      <c r="E74" s="16" t="s">
        <v>105</v>
      </c>
      <c r="F74" s="16" t="s">
        <v>106</v>
      </c>
      <c r="G74" s="16" t="s">
        <v>107</v>
      </c>
      <c r="H74" s="16" t="s">
        <v>85</v>
      </c>
      <c r="I74" s="16" t="s">
        <v>40</v>
      </c>
      <c r="J74" s="16" t="s">
        <v>38</v>
      </c>
      <c r="K74" s="16" t="s">
        <v>293</v>
      </c>
      <c r="L74" s="15">
        <v>-25388.09490969593</v>
      </c>
      <c r="M74" s="15">
        <v>0</v>
      </c>
      <c r="N74" s="15">
        <v>-10160.923325252264</v>
      </c>
      <c r="O74" s="15">
        <v>-15227.171584443673</v>
      </c>
      <c r="P74" s="15">
        <v>-15227.17</v>
      </c>
      <c r="Q74" s="15">
        <f>P74+15227</f>
        <v>-0.17000000000007276</v>
      </c>
      <c r="R74" s="36">
        <v>0</v>
      </c>
      <c r="S74" s="15">
        <f t="shared" si="2"/>
        <v>-0.17000000000007276</v>
      </c>
      <c r="T74" s="16"/>
      <c r="U74" s="16"/>
    </row>
    <row r="75" spans="1:23" x14ac:dyDescent="0.25">
      <c r="A75" s="16" t="s">
        <v>37</v>
      </c>
      <c r="B75" s="16" t="s">
        <v>257</v>
      </c>
      <c r="C75" s="16" t="s">
        <v>258</v>
      </c>
      <c r="D75" s="16" t="s">
        <v>104</v>
      </c>
      <c r="E75" s="16" t="s">
        <v>105</v>
      </c>
      <c r="F75" s="16" t="s">
        <v>106</v>
      </c>
      <c r="G75" s="16" t="s">
        <v>107</v>
      </c>
      <c r="H75" s="16" t="s">
        <v>85</v>
      </c>
      <c r="I75" s="16" t="s">
        <v>40</v>
      </c>
      <c r="J75" s="16" t="s">
        <v>38</v>
      </c>
      <c r="K75" s="16" t="s">
        <v>293</v>
      </c>
      <c r="L75" s="15">
        <v>-185112.60506771953</v>
      </c>
      <c r="M75" s="15">
        <v>-51088.201000000001</v>
      </c>
      <c r="N75" s="15">
        <v>-201375.31276204844</v>
      </c>
      <c r="O75" s="15">
        <v>16262.707694328878</v>
      </c>
      <c r="P75" s="15">
        <f>O75</f>
        <v>16262.707694328878</v>
      </c>
      <c r="Q75" s="15">
        <f>P75+P74</f>
        <v>1035.5376943288775</v>
      </c>
      <c r="R75" s="36">
        <v>0</v>
      </c>
      <c r="S75" s="15">
        <f t="shared" si="2"/>
        <v>1035.5376943288775</v>
      </c>
      <c r="T75" s="16"/>
      <c r="U75" s="26"/>
    </row>
    <row r="76" spans="1:23" x14ac:dyDescent="0.25">
      <c r="A76" s="16" t="s">
        <v>37</v>
      </c>
      <c r="B76" s="16" t="s">
        <v>257</v>
      </c>
      <c r="C76" s="16" t="s">
        <v>258</v>
      </c>
      <c r="D76" s="16" t="s">
        <v>104</v>
      </c>
      <c r="E76" s="16" t="s">
        <v>105</v>
      </c>
      <c r="F76" s="16" t="s">
        <v>106</v>
      </c>
      <c r="G76" s="16" t="s">
        <v>107</v>
      </c>
      <c r="H76" s="16" t="s">
        <v>85</v>
      </c>
      <c r="I76" s="16" t="s">
        <v>40</v>
      </c>
      <c r="J76" s="16" t="s">
        <v>296</v>
      </c>
      <c r="K76" s="16" t="s">
        <v>297</v>
      </c>
      <c r="L76" s="15">
        <v>-23367.251937199995</v>
      </c>
      <c r="M76" s="15">
        <v>-4006.326</v>
      </c>
      <c r="N76" s="15">
        <v>-16620.764179999998</v>
      </c>
      <c r="O76" s="15">
        <v>-6746.4877572000005</v>
      </c>
      <c r="P76" s="15">
        <v>-6746.4877572000005</v>
      </c>
      <c r="Q76" s="15">
        <f t="shared" si="1"/>
        <v>-6746.4877572000005</v>
      </c>
      <c r="R76" s="36">
        <v>0</v>
      </c>
      <c r="S76" s="15">
        <f t="shared" si="2"/>
        <v>-6746.4877572000005</v>
      </c>
      <c r="T76" s="16"/>
      <c r="U76" s="26"/>
    </row>
    <row r="77" spans="1:23" x14ac:dyDescent="0.25">
      <c r="A77" s="16" t="s">
        <v>37</v>
      </c>
      <c r="B77" s="16" t="s">
        <v>257</v>
      </c>
      <c r="C77" s="16" t="s">
        <v>258</v>
      </c>
      <c r="D77" s="16" t="s">
        <v>104</v>
      </c>
      <c r="E77" s="16" t="s">
        <v>105</v>
      </c>
      <c r="F77" s="16" t="s">
        <v>106</v>
      </c>
      <c r="G77" s="16" t="s">
        <v>107</v>
      </c>
      <c r="H77" s="16" t="s">
        <v>85</v>
      </c>
      <c r="I77" s="16" t="s">
        <v>40</v>
      </c>
      <c r="J77" s="16" t="s">
        <v>298</v>
      </c>
      <c r="K77" s="16" t="s">
        <v>299</v>
      </c>
      <c r="L77" s="15">
        <v>-2798.4853709677418</v>
      </c>
      <c r="M77" s="15">
        <v>0</v>
      </c>
      <c r="N77" s="15">
        <v>-1106.0646860174002</v>
      </c>
      <c r="O77" s="15">
        <v>-1692.4206849503421</v>
      </c>
      <c r="P77" s="15">
        <v>-1692.42</v>
      </c>
      <c r="Q77" s="15">
        <f t="shared" si="1"/>
        <v>-1692.42</v>
      </c>
      <c r="R77" s="36">
        <v>0</v>
      </c>
      <c r="S77" s="15">
        <f t="shared" si="2"/>
        <v>-1692.42</v>
      </c>
      <c r="T77" s="16"/>
      <c r="U77" s="26"/>
    </row>
    <row r="78" spans="1:23" x14ac:dyDescent="0.25">
      <c r="A78" s="16" t="s">
        <v>37</v>
      </c>
      <c r="B78" s="16" t="s">
        <v>269</v>
      </c>
      <c r="C78" s="16" t="s">
        <v>270</v>
      </c>
      <c r="D78" s="16" t="s">
        <v>104</v>
      </c>
      <c r="E78" s="16" t="s">
        <v>105</v>
      </c>
      <c r="F78" s="16" t="s">
        <v>106</v>
      </c>
      <c r="G78" s="16" t="s">
        <v>107</v>
      </c>
      <c r="H78" s="16" t="s">
        <v>85</v>
      </c>
      <c r="I78" s="16" t="s">
        <v>40</v>
      </c>
      <c r="J78" s="16" t="s">
        <v>62</v>
      </c>
      <c r="K78" s="16" t="s">
        <v>63</v>
      </c>
      <c r="L78" s="15">
        <v>-5327.4690000000001</v>
      </c>
      <c r="M78" s="15">
        <v>-5327.4690000000001</v>
      </c>
      <c r="N78" s="15">
        <v>-5327.4699927899983</v>
      </c>
      <c r="O78" s="15">
        <v>9.9278999800844758E-4</v>
      </c>
      <c r="P78" s="15">
        <v>0</v>
      </c>
      <c r="Q78" s="15">
        <f t="shared" si="1"/>
        <v>0</v>
      </c>
      <c r="R78" s="36">
        <v>0</v>
      </c>
      <c r="S78" s="15">
        <f t="shared" si="2"/>
        <v>0</v>
      </c>
      <c r="T78" s="16"/>
      <c r="U78" s="16"/>
    </row>
    <row r="79" spans="1:23" x14ac:dyDescent="0.25">
      <c r="A79" s="16" t="s">
        <v>37</v>
      </c>
      <c r="B79" s="16" t="s">
        <v>257</v>
      </c>
      <c r="C79" s="16" t="s">
        <v>258</v>
      </c>
      <c r="D79" s="16" t="s">
        <v>104</v>
      </c>
      <c r="E79" s="16" t="s">
        <v>105</v>
      </c>
      <c r="F79" s="16" t="s">
        <v>106</v>
      </c>
      <c r="G79" s="16" t="s">
        <v>107</v>
      </c>
      <c r="H79" s="16" t="s">
        <v>85</v>
      </c>
      <c r="I79" s="16" t="s">
        <v>40</v>
      </c>
      <c r="J79" s="16" t="s">
        <v>108</v>
      </c>
      <c r="K79" s="16" t="s">
        <v>109</v>
      </c>
      <c r="L79" s="15">
        <v>-80112.56</v>
      </c>
      <c r="M79" s="15">
        <v>-80112.56</v>
      </c>
      <c r="N79" s="15">
        <v>0</v>
      </c>
      <c r="O79" s="15">
        <v>-80112.56</v>
      </c>
      <c r="P79" s="15">
        <v>0</v>
      </c>
      <c r="Q79" s="15">
        <f t="shared" ref="Q79:Q141" si="5">P79-R79</f>
        <v>0</v>
      </c>
      <c r="R79" s="36">
        <v>0</v>
      </c>
      <c r="S79" s="15">
        <f t="shared" ref="S79:S142" si="6">SUM(Q79:R79)</f>
        <v>0</v>
      </c>
      <c r="T79" s="16"/>
      <c r="U79" s="15">
        <v>-80113</v>
      </c>
    </row>
    <row r="80" spans="1:23" x14ac:dyDescent="0.25">
      <c r="A80" s="16" t="s">
        <v>37</v>
      </c>
      <c r="B80" s="16" t="s">
        <v>269</v>
      </c>
      <c r="C80" s="16" t="s">
        <v>270</v>
      </c>
      <c r="D80" s="16" t="s">
        <v>104</v>
      </c>
      <c r="E80" s="16" t="s">
        <v>105</v>
      </c>
      <c r="F80" s="16" t="s">
        <v>110</v>
      </c>
      <c r="G80" s="16" t="s">
        <v>111</v>
      </c>
      <c r="H80" s="16" t="s">
        <v>85</v>
      </c>
      <c r="I80" s="16" t="s">
        <v>40</v>
      </c>
      <c r="J80" s="16" t="s">
        <v>38</v>
      </c>
      <c r="K80" s="16" t="s">
        <v>293</v>
      </c>
      <c r="L80" s="15">
        <v>-13076.404840559839</v>
      </c>
      <c r="M80" s="15">
        <v>0</v>
      </c>
      <c r="N80" s="15">
        <v>-3756.9800530344501</v>
      </c>
      <c r="O80" s="15">
        <v>-9319.4247875253895</v>
      </c>
      <c r="P80" s="15">
        <v>-9319.42</v>
      </c>
      <c r="Q80" s="15">
        <f>P80-R80+9319</f>
        <v>-0.42000000000007276</v>
      </c>
      <c r="R80" s="36">
        <v>0</v>
      </c>
      <c r="S80" s="15">
        <f t="shared" si="6"/>
        <v>-0.42000000000007276</v>
      </c>
      <c r="T80" s="16"/>
      <c r="U80" s="16"/>
    </row>
    <row r="81" spans="1:21" x14ac:dyDescent="0.25">
      <c r="A81" s="16" t="s">
        <v>37</v>
      </c>
      <c r="B81" s="16" t="s">
        <v>257</v>
      </c>
      <c r="C81" s="16" t="s">
        <v>258</v>
      </c>
      <c r="D81" s="16" t="s">
        <v>104</v>
      </c>
      <c r="E81" s="16" t="s">
        <v>105</v>
      </c>
      <c r="F81" s="16" t="s">
        <v>110</v>
      </c>
      <c r="G81" s="16" t="s">
        <v>111</v>
      </c>
      <c r="H81" s="16" t="s">
        <v>85</v>
      </c>
      <c r="I81" s="16" t="s">
        <v>40</v>
      </c>
      <c r="J81" s="16" t="s">
        <v>38</v>
      </c>
      <c r="K81" s="16" t="s">
        <v>293</v>
      </c>
      <c r="L81" s="15">
        <v>-53622.926968467655</v>
      </c>
      <c r="M81" s="15">
        <v>-15722.571599999999</v>
      </c>
      <c r="N81" s="15">
        <v>-70572.762759694189</v>
      </c>
      <c r="O81" s="15">
        <v>16949.835791226535</v>
      </c>
      <c r="P81" s="15">
        <f>O81</f>
        <v>16949.835791226535</v>
      </c>
      <c r="Q81" s="15">
        <f>P81-R81+P80-7630.41</f>
        <v>5.7912265347113134E-3</v>
      </c>
      <c r="R81" s="36">
        <v>0</v>
      </c>
      <c r="S81" s="15">
        <f t="shared" si="6"/>
        <v>5.7912265347113134E-3</v>
      </c>
      <c r="T81" s="16"/>
      <c r="U81" s="26"/>
    </row>
    <row r="82" spans="1:21" x14ac:dyDescent="0.25">
      <c r="A82" s="16" t="s">
        <v>37</v>
      </c>
      <c r="B82" s="16" t="s">
        <v>257</v>
      </c>
      <c r="C82" s="16" t="s">
        <v>258</v>
      </c>
      <c r="D82" s="16" t="s">
        <v>104</v>
      </c>
      <c r="E82" s="16" t="s">
        <v>105</v>
      </c>
      <c r="F82" s="16" t="s">
        <v>110</v>
      </c>
      <c r="G82" s="16" t="s">
        <v>111</v>
      </c>
      <c r="H82" s="16" t="s">
        <v>85</v>
      </c>
      <c r="I82" s="16" t="s">
        <v>40</v>
      </c>
      <c r="J82" s="16" t="s">
        <v>296</v>
      </c>
      <c r="K82" s="16" t="s">
        <v>297</v>
      </c>
      <c r="L82" s="15">
        <v>-11683.625968599998</v>
      </c>
      <c r="M82" s="15">
        <v>-2003.163</v>
      </c>
      <c r="N82" s="15">
        <v>-8310.3820899999992</v>
      </c>
      <c r="O82" s="15">
        <v>-3373.2438785999993</v>
      </c>
      <c r="P82" s="15">
        <v>-3373.24</v>
      </c>
      <c r="Q82" s="15">
        <f>P82-R82+3373.24</f>
        <v>0</v>
      </c>
      <c r="R82" s="36">
        <v>0</v>
      </c>
      <c r="S82" s="15">
        <f t="shared" si="6"/>
        <v>0</v>
      </c>
      <c r="T82" s="16"/>
      <c r="U82" s="26"/>
    </row>
    <row r="83" spans="1:21" x14ac:dyDescent="0.25">
      <c r="A83" s="16" t="s">
        <v>37</v>
      </c>
      <c r="B83" s="16" t="s">
        <v>257</v>
      </c>
      <c r="C83" s="16" t="s">
        <v>258</v>
      </c>
      <c r="D83" s="16" t="s">
        <v>104</v>
      </c>
      <c r="E83" s="16" t="s">
        <v>105</v>
      </c>
      <c r="F83" s="16" t="s">
        <v>110</v>
      </c>
      <c r="G83" s="16" t="s">
        <v>111</v>
      </c>
      <c r="H83" s="16" t="s">
        <v>85</v>
      </c>
      <c r="I83" s="16" t="s">
        <v>40</v>
      </c>
      <c r="J83" s="16" t="s">
        <v>298</v>
      </c>
      <c r="K83" s="16" t="s">
        <v>299</v>
      </c>
      <c r="L83" s="15">
        <v>-891.51933548387092</v>
      </c>
      <c r="M83" s="15">
        <v>0</v>
      </c>
      <c r="N83" s="15">
        <v>-352.41956511939998</v>
      </c>
      <c r="O83" s="15">
        <v>-539.09977036447083</v>
      </c>
      <c r="P83" s="15">
        <v>-539.09977036447083</v>
      </c>
      <c r="Q83" s="15">
        <f>P83-R83+539.1</f>
        <v>2.2963552919463837E-4</v>
      </c>
      <c r="R83" s="36">
        <v>0</v>
      </c>
      <c r="S83" s="15">
        <f t="shared" si="6"/>
        <v>2.2963552919463837E-4</v>
      </c>
      <c r="T83" s="16"/>
      <c r="U83" s="26"/>
    </row>
    <row r="84" spans="1:21" x14ac:dyDescent="0.25">
      <c r="A84" s="16" t="s">
        <v>37</v>
      </c>
      <c r="B84" s="16" t="s">
        <v>269</v>
      </c>
      <c r="C84" s="16" t="s">
        <v>270</v>
      </c>
      <c r="D84" s="16" t="s">
        <v>104</v>
      </c>
      <c r="E84" s="16" t="s">
        <v>105</v>
      </c>
      <c r="F84" s="16" t="s">
        <v>110</v>
      </c>
      <c r="G84" s="16" t="s">
        <v>111</v>
      </c>
      <c r="H84" s="16" t="s">
        <v>85</v>
      </c>
      <c r="I84" s="16" t="s">
        <v>40</v>
      </c>
      <c r="J84" s="16" t="s">
        <v>62</v>
      </c>
      <c r="K84" s="16" t="s">
        <v>63</v>
      </c>
      <c r="L84" s="15">
        <v>-1396.521</v>
      </c>
      <c r="M84" s="15">
        <v>-1396.521</v>
      </c>
      <c r="N84" s="15">
        <v>-1396.5199981100013</v>
      </c>
      <c r="O84" s="15">
        <v>-1.0018899987471741E-3</v>
      </c>
      <c r="P84" s="15">
        <v>0</v>
      </c>
      <c r="Q84" s="15">
        <f t="shared" si="5"/>
        <v>0</v>
      </c>
      <c r="R84" s="36">
        <v>0</v>
      </c>
      <c r="S84" s="15">
        <f t="shared" si="6"/>
        <v>0</v>
      </c>
      <c r="T84" s="16"/>
      <c r="U84" s="16"/>
    </row>
    <row r="85" spans="1:21" x14ac:dyDescent="0.25">
      <c r="A85" s="16" t="s">
        <v>37</v>
      </c>
      <c r="B85" s="16" t="s">
        <v>257</v>
      </c>
      <c r="C85" s="16" t="s">
        <v>258</v>
      </c>
      <c r="D85" s="16" t="s">
        <v>104</v>
      </c>
      <c r="E85" s="16" t="s">
        <v>105</v>
      </c>
      <c r="F85" s="16" t="s">
        <v>112</v>
      </c>
      <c r="G85" s="16" t="s">
        <v>113</v>
      </c>
      <c r="H85" s="16" t="s">
        <v>85</v>
      </c>
      <c r="I85" s="16" t="s">
        <v>40</v>
      </c>
      <c r="J85" s="16" t="s">
        <v>38</v>
      </c>
      <c r="K85" s="16" t="s">
        <v>293</v>
      </c>
      <c r="L85" s="15">
        <v>-63173.983454961955</v>
      </c>
      <c r="M85" s="15">
        <v>-22690.067800000001</v>
      </c>
      <c r="N85" s="15">
        <v>-90639.813586714197</v>
      </c>
      <c r="O85" s="15">
        <v>27465.830131752235</v>
      </c>
      <c r="P85" s="15">
        <f>O85</f>
        <v>27465.830131752235</v>
      </c>
      <c r="Q85" s="15">
        <f>P85-R85+P86-19552.97</f>
        <v>1.317522328463383E-4</v>
      </c>
      <c r="R85" s="36">
        <v>0</v>
      </c>
      <c r="S85" s="15">
        <f t="shared" si="6"/>
        <v>1.317522328463383E-4</v>
      </c>
      <c r="T85" s="16"/>
      <c r="U85" s="26"/>
    </row>
    <row r="86" spans="1:21" x14ac:dyDescent="0.25">
      <c r="A86" s="16" t="s">
        <v>37</v>
      </c>
      <c r="B86" s="16" t="s">
        <v>269</v>
      </c>
      <c r="C86" s="16" t="s">
        <v>270</v>
      </c>
      <c r="D86" s="16" t="s">
        <v>104</v>
      </c>
      <c r="E86" s="16" t="s">
        <v>105</v>
      </c>
      <c r="F86" s="16" t="s">
        <v>112</v>
      </c>
      <c r="G86" s="16" t="s">
        <v>113</v>
      </c>
      <c r="H86" s="16" t="s">
        <v>85</v>
      </c>
      <c r="I86" s="16" t="s">
        <v>40</v>
      </c>
      <c r="J86" s="16" t="s">
        <v>38</v>
      </c>
      <c r="K86" s="16" t="s">
        <v>293</v>
      </c>
      <c r="L86" s="15">
        <v>-12609.086695861093</v>
      </c>
      <c r="M86" s="15">
        <v>0</v>
      </c>
      <c r="N86" s="15">
        <v>-4696.2250662930628</v>
      </c>
      <c r="O86" s="15">
        <v>-7912.8616295680304</v>
      </c>
      <c r="P86" s="15">
        <v>-7912.86</v>
      </c>
      <c r="Q86" s="15">
        <f>P86-R86+7913</f>
        <v>0.14000000000032742</v>
      </c>
      <c r="R86" s="36">
        <v>0</v>
      </c>
      <c r="S86" s="15">
        <f t="shared" si="6"/>
        <v>0.14000000000032742</v>
      </c>
      <c r="T86" s="16"/>
      <c r="U86" s="16"/>
    </row>
    <row r="87" spans="1:21" x14ac:dyDescent="0.25">
      <c r="A87" s="16" t="s">
        <v>37</v>
      </c>
      <c r="B87" s="16" t="s">
        <v>257</v>
      </c>
      <c r="C87" s="16" t="s">
        <v>258</v>
      </c>
      <c r="D87" s="16" t="s">
        <v>104</v>
      </c>
      <c r="E87" s="16" t="s">
        <v>105</v>
      </c>
      <c r="F87" s="16" t="s">
        <v>112</v>
      </c>
      <c r="G87" s="16" t="s">
        <v>113</v>
      </c>
      <c r="H87" s="16" t="s">
        <v>85</v>
      </c>
      <c r="I87" s="16" t="s">
        <v>40</v>
      </c>
      <c r="J87" s="16" t="s">
        <v>296</v>
      </c>
      <c r="K87" s="16" t="s">
        <v>297</v>
      </c>
      <c r="L87" s="15">
        <v>-2976.7199920000003</v>
      </c>
      <c r="M87" s="15">
        <v>-510.36</v>
      </c>
      <c r="N87" s="15">
        <v>-2117.2948000000001</v>
      </c>
      <c r="O87" s="15">
        <v>-859.42519200000015</v>
      </c>
      <c r="P87" s="15">
        <v>-859.42519200000015</v>
      </c>
      <c r="Q87" s="15">
        <f>P87-R87+859.43</f>
        <v>4.8079999997980849E-3</v>
      </c>
      <c r="R87" s="36">
        <v>0</v>
      </c>
      <c r="S87" s="15">
        <f t="shared" si="6"/>
        <v>4.8079999997980849E-3</v>
      </c>
      <c r="T87" s="16"/>
      <c r="U87" s="26"/>
    </row>
    <row r="88" spans="1:21" x14ac:dyDescent="0.25">
      <c r="A88" s="16" t="s">
        <v>37</v>
      </c>
      <c r="B88" s="16" t="s">
        <v>257</v>
      </c>
      <c r="C88" s="16" t="s">
        <v>258</v>
      </c>
      <c r="D88" s="16" t="s">
        <v>104</v>
      </c>
      <c r="E88" s="16" t="s">
        <v>105</v>
      </c>
      <c r="F88" s="16" t="s">
        <v>112</v>
      </c>
      <c r="G88" s="16" t="s">
        <v>113</v>
      </c>
      <c r="H88" s="16" t="s">
        <v>85</v>
      </c>
      <c r="I88" s="16" t="s">
        <v>40</v>
      </c>
      <c r="J88" s="16" t="s">
        <v>298</v>
      </c>
      <c r="K88" s="16" t="s">
        <v>299</v>
      </c>
      <c r="L88" s="15">
        <v>-1251.703635483871</v>
      </c>
      <c r="M88" s="15">
        <v>0</v>
      </c>
      <c r="N88" s="15">
        <v>-494.72302984300006</v>
      </c>
      <c r="O88" s="15">
        <v>-756.98060564087109</v>
      </c>
      <c r="P88" s="15">
        <v>-756.98</v>
      </c>
      <c r="Q88" s="15">
        <f>P88-R88+756.98</f>
        <v>0</v>
      </c>
      <c r="R88" s="36">
        <v>0</v>
      </c>
      <c r="S88" s="15">
        <f t="shared" si="6"/>
        <v>0</v>
      </c>
      <c r="T88" s="16"/>
      <c r="U88" s="26"/>
    </row>
    <row r="89" spans="1:21" x14ac:dyDescent="0.25">
      <c r="A89" s="16" t="s">
        <v>37</v>
      </c>
      <c r="B89" s="16" t="s">
        <v>257</v>
      </c>
      <c r="C89" s="16" t="s">
        <v>258</v>
      </c>
      <c r="D89" s="16" t="s">
        <v>104</v>
      </c>
      <c r="E89" s="16" t="s">
        <v>105</v>
      </c>
      <c r="F89" s="16" t="s">
        <v>112</v>
      </c>
      <c r="G89" s="16" t="s">
        <v>113</v>
      </c>
      <c r="H89" s="16" t="s">
        <v>85</v>
      </c>
      <c r="I89" s="16" t="s">
        <v>40</v>
      </c>
      <c r="J89" s="16" t="s">
        <v>114</v>
      </c>
      <c r="K89" s="16" t="s">
        <v>115</v>
      </c>
      <c r="L89" s="15">
        <v>-59999.829999999987</v>
      </c>
      <c r="M89" s="15">
        <v>-59999.829999999987</v>
      </c>
      <c r="N89" s="15">
        <v>0</v>
      </c>
      <c r="O89" s="15">
        <v>-59999.829999999987</v>
      </c>
      <c r="P89" s="15">
        <v>0</v>
      </c>
      <c r="Q89" s="15">
        <f t="shared" si="5"/>
        <v>0</v>
      </c>
      <c r="R89" s="36">
        <v>0</v>
      </c>
      <c r="S89" s="15">
        <f t="shared" si="6"/>
        <v>0</v>
      </c>
      <c r="T89" s="16"/>
      <c r="U89" s="15">
        <f>O89</f>
        <v>-59999.829999999987</v>
      </c>
    </row>
    <row r="90" spans="1:21" x14ac:dyDescent="0.25">
      <c r="A90" s="16" t="s">
        <v>37</v>
      </c>
      <c r="B90" s="16" t="s">
        <v>257</v>
      </c>
      <c r="C90" s="16" t="s">
        <v>258</v>
      </c>
      <c r="D90" s="16" t="s">
        <v>104</v>
      </c>
      <c r="E90" s="16" t="s">
        <v>105</v>
      </c>
      <c r="F90" s="16" t="s">
        <v>116</v>
      </c>
      <c r="G90" s="16" t="s">
        <v>117</v>
      </c>
      <c r="H90" s="16" t="s">
        <v>85</v>
      </c>
      <c r="I90" s="16" t="s">
        <v>40</v>
      </c>
      <c r="J90" s="16" t="s">
        <v>38</v>
      </c>
      <c r="K90" s="16" t="s">
        <v>293</v>
      </c>
      <c r="L90" s="15">
        <v>-551821.7503144138</v>
      </c>
      <c r="M90" s="15">
        <v>-28641.894</v>
      </c>
      <c r="N90" s="15">
        <v>-152426.30168518255</v>
      </c>
      <c r="O90" s="15">
        <v>-399395.44862923143</v>
      </c>
      <c r="P90" s="15">
        <v>-399395.44862923143</v>
      </c>
      <c r="Q90" s="15">
        <f>P90-R90+P91+7630.41+19552.97</f>
        <v>-403489.32862923143</v>
      </c>
      <c r="R90" s="36">
        <v>0</v>
      </c>
      <c r="S90" s="15">
        <f t="shared" si="6"/>
        <v>-403489.32862923143</v>
      </c>
      <c r="T90" s="16"/>
      <c r="U90" s="26"/>
    </row>
    <row r="91" spans="1:21" x14ac:dyDescent="0.25">
      <c r="A91" s="16" t="s">
        <v>37</v>
      </c>
      <c r="B91" s="16" t="s">
        <v>269</v>
      </c>
      <c r="C91" s="16" t="s">
        <v>270</v>
      </c>
      <c r="D91" s="16" t="s">
        <v>104</v>
      </c>
      <c r="E91" s="16" t="s">
        <v>105</v>
      </c>
      <c r="F91" s="16" t="s">
        <v>116</v>
      </c>
      <c r="G91" s="16" t="s">
        <v>117</v>
      </c>
      <c r="H91" s="16" t="s">
        <v>85</v>
      </c>
      <c r="I91" s="16" t="s">
        <v>40</v>
      </c>
      <c r="J91" s="16" t="s">
        <v>38</v>
      </c>
      <c r="K91" s="16" t="s">
        <v>293</v>
      </c>
      <c r="L91" s="15">
        <v>-36776.115120010014</v>
      </c>
      <c r="M91" s="15">
        <v>0</v>
      </c>
      <c r="N91" s="15">
        <v>-5498.8526230776961</v>
      </c>
      <c r="O91" s="15">
        <v>-31277.262496932319</v>
      </c>
      <c r="P91" s="15">
        <v>-31277.26</v>
      </c>
      <c r="Q91" s="15">
        <f>P91-R91+31277</f>
        <v>-0.25999999999839929</v>
      </c>
      <c r="R91" s="36">
        <v>0</v>
      </c>
      <c r="S91" s="15">
        <f t="shared" si="6"/>
        <v>-0.25999999999839929</v>
      </c>
      <c r="T91" s="16"/>
      <c r="U91" s="16"/>
    </row>
    <row r="92" spans="1:21" x14ac:dyDescent="0.25">
      <c r="A92" s="16" t="s">
        <v>37</v>
      </c>
      <c r="B92" s="16" t="s">
        <v>257</v>
      </c>
      <c r="C92" s="16" t="s">
        <v>258</v>
      </c>
      <c r="D92" s="16" t="s">
        <v>104</v>
      </c>
      <c r="E92" s="16" t="s">
        <v>105</v>
      </c>
      <c r="F92" s="16" t="s">
        <v>116</v>
      </c>
      <c r="G92" s="16" t="s">
        <v>117</v>
      </c>
      <c r="H92" s="16" t="s">
        <v>85</v>
      </c>
      <c r="I92" s="16" t="s">
        <v>40</v>
      </c>
      <c r="J92" s="16" t="s">
        <v>296</v>
      </c>
      <c r="K92" s="16" t="s">
        <v>297</v>
      </c>
      <c r="L92" s="15">
        <v>-10195.2659726</v>
      </c>
      <c r="M92" s="15">
        <v>-1747.9829999999999</v>
      </c>
      <c r="N92" s="15">
        <v>-7251.7346899999993</v>
      </c>
      <c r="O92" s="15">
        <v>-2943.5312826000018</v>
      </c>
      <c r="P92" s="15">
        <v>-2943.53</v>
      </c>
      <c r="Q92" s="15">
        <f>P92-R92-3373.24-859.43</f>
        <v>-7176.2000000000007</v>
      </c>
      <c r="R92" s="36">
        <v>0</v>
      </c>
      <c r="S92" s="15">
        <f t="shared" si="6"/>
        <v>-7176.2000000000007</v>
      </c>
      <c r="T92" s="16"/>
      <c r="U92" s="26"/>
    </row>
    <row r="93" spans="1:21" x14ac:dyDescent="0.25">
      <c r="A93" s="16" t="s">
        <v>37</v>
      </c>
      <c r="B93" s="16" t="s">
        <v>257</v>
      </c>
      <c r="C93" s="16" t="s">
        <v>258</v>
      </c>
      <c r="D93" s="16" t="s">
        <v>104</v>
      </c>
      <c r="E93" s="16" t="s">
        <v>105</v>
      </c>
      <c r="F93" s="16" t="s">
        <v>116</v>
      </c>
      <c r="G93" s="16" t="s">
        <v>117</v>
      </c>
      <c r="H93" s="16" t="s">
        <v>85</v>
      </c>
      <c r="I93" s="16" t="s">
        <v>40</v>
      </c>
      <c r="J93" s="16" t="s">
        <v>298</v>
      </c>
      <c r="K93" s="16" t="s">
        <v>299</v>
      </c>
      <c r="L93" s="15">
        <v>-151493.61123361596</v>
      </c>
      <c r="M93" s="15">
        <v>0</v>
      </c>
      <c r="N93" s="15">
        <v>-21609.366537652382</v>
      </c>
      <c r="O93" s="15">
        <v>-129884.24469596361</v>
      </c>
      <c r="P93" s="15">
        <v>-129884.24</v>
      </c>
      <c r="Q93" s="15">
        <f>P93-R93-539.1-756.98</f>
        <v>-131180.32</v>
      </c>
      <c r="R93" s="36">
        <v>0</v>
      </c>
      <c r="S93" s="15">
        <f t="shared" si="6"/>
        <v>-131180.32</v>
      </c>
      <c r="T93" s="16"/>
      <c r="U93" s="26"/>
    </row>
    <row r="94" spans="1:21" x14ac:dyDescent="0.25">
      <c r="A94" s="16" t="s">
        <v>37</v>
      </c>
      <c r="B94" s="16" t="s">
        <v>269</v>
      </c>
      <c r="C94" s="16" t="s">
        <v>270</v>
      </c>
      <c r="D94" s="16" t="s">
        <v>104</v>
      </c>
      <c r="E94" s="16" t="s">
        <v>105</v>
      </c>
      <c r="F94" s="16" t="s">
        <v>116</v>
      </c>
      <c r="G94" s="16" t="s">
        <v>117</v>
      </c>
      <c r="H94" s="16" t="s">
        <v>85</v>
      </c>
      <c r="I94" s="16" t="s">
        <v>40</v>
      </c>
      <c r="J94" s="16" t="s">
        <v>62</v>
      </c>
      <c r="K94" s="16" t="s">
        <v>63</v>
      </c>
      <c r="L94" s="15">
        <v>-3524.5529999999994</v>
      </c>
      <c r="M94" s="15">
        <v>-3524.5529999999994</v>
      </c>
      <c r="N94" s="15">
        <v>-3524.5499952300042</v>
      </c>
      <c r="O94" s="15">
        <v>-3.004769995186507E-3</v>
      </c>
      <c r="P94" s="15">
        <v>0</v>
      </c>
      <c r="Q94" s="15">
        <f t="shared" si="5"/>
        <v>0</v>
      </c>
      <c r="R94" s="36">
        <v>0</v>
      </c>
      <c r="S94" s="15">
        <f t="shared" si="6"/>
        <v>0</v>
      </c>
      <c r="T94" s="16"/>
      <c r="U94" s="16"/>
    </row>
    <row r="95" spans="1:21" x14ac:dyDescent="0.25">
      <c r="A95" s="16" t="s">
        <v>37</v>
      </c>
      <c r="B95" s="16" t="s">
        <v>257</v>
      </c>
      <c r="C95" s="16" t="s">
        <v>258</v>
      </c>
      <c r="D95" s="16" t="s">
        <v>104</v>
      </c>
      <c r="E95" s="16" t="s">
        <v>105</v>
      </c>
      <c r="F95" s="16" t="s">
        <v>116</v>
      </c>
      <c r="G95" s="16" t="s">
        <v>117</v>
      </c>
      <c r="H95" s="16" t="s">
        <v>85</v>
      </c>
      <c r="I95" s="16" t="s">
        <v>40</v>
      </c>
      <c r="J95" s="16" t="s">
        <v>118</v>
      </c>
      <c r="K95" s="16" t="s">
        <v>119</v>
      </c>
      <c r="L95" s="15">
        <v>-4425.05</v>
      </c>
      <c r="M95" s="15">
        <v>0</v>
      </c>
      <c r="N95" s="15">
        <v>-4425.05</v>
      </c>
      <c r="O95" s="15">
        <v>0</v>
      </c>
      <c r="P95" s="15">
        <v>0</v>
      </c>
      <c r="Q95" s="15">
        <f t="shared" si="5"/>
        <v>0</v>
      </c>
      <c r="R95" s="36">
        <v>0</v>
      </c>
      <c r="S95" s="15">
        <f t="shared" si="6"/>
        <v>0</v>
      </c>
      <c r="T95" s="16"/>
      <c r="U95" s="26"/>
    </row>
    <row r="96" spans="1:21" x14ac:dyDescent="0.25">
      <c r="A96" s="16" t="s">
        <v>37</v>
      </c>
      <c r="B96" s="16" t="s">
        <v>257</v>
      </c>
      <c r="C96" s="16" t="s">
        <v>258</v>
      </c>
      <c r="D96" s="16" t="s">
        <v>104</v>
      </c>
      <c r="E96" s="16" t="s">
        <v>105</v>
      </c>
      <c r="F96" s="16" t="s">
        <v>120</v>
      </c>
      <c r="G96" s="16" t="s">
        <v>121</v>
      </c>
      <c r="H96" s="16" t="s">
        <v>85</v>
      </c>
      <c r="I96" s="16" t="s">
        <v>40</v>
      </c>
      <c r="J96" s="16" t="s">
        <v>38</v>
      </c>
      <c r="K96" s="16" t="s">
        <v>293</v>
      </c>
      <c r="L96" s="15">
        <v>-403940.27825639909</v>
      </c>
      <c r="M96" s="15">
        <v>-84991.265599999999</v>
      </c>
      <c r="N96" s="15">
        <v>-374755.67824867932</v>
      </c>
      <c r="O96" s="15">
        <v>-29184.600007719797</v>
      </c>
      <c r="P96" s="15">
        <v>-29184.600007719797</v>
      </c>
      <c r="Q96" s="15">
        <f>P96-R96+P97</f>
        <v>-89010.585003662505</v>
      </c>
      <c r="R96" s="36">
        <v>0</v>
      </c>
      <c r="S96" s="15">
        <f t="shared" si="6"/>
        <v>-89010.585003662505</v>
      </c>
      <c r="T96" s="16"/>
      <c r="U96" s="26"/>
    </row>
    <row r="97" spans="1:21" x14ac:dyDescent="0.25">
      <c r="A97" s="16" t="s">
        <v>37</v>
      </c>
      <c r="B97" s="16" t="s">
        <v>269</v>
      </c>
      <c r="C97" s="16" t="s">
        <v>270</v>
      </c>
      <c r="D97" s="16" t="s">
        <v>104</v>
      </c>
      <c r="E97" s="16" t="s">
        <v>105</v>
      </c>
      <c r="F97" s="16" t="s">
        <v>120</v>
      </c>
      <c r="G97" s="16" t="s">
        <v>121</v>
      </c>
      <c r="H97" s="16" t="s">
        <v>85</v>
      </c>
      <c r="I97" s="16" t="s">
        <v>40</v>
      </c>
      <c r="J97" s="16" t="s">
        <v>38</v>
      </c>
      <c r="K97" s="16" t="s">
        <v>293</v>
      </c>
      <c r="L97" s="15">
        <v>-85954.073546591375</v>
      </c>
      <c r="M97" s="15">
        <v>0</v>
      </c>
      <c r="N97" s="15">
        <v>-26128.088550648674</v>
      </c>
      <c r="O97" s="15">
        <v>-59825.984995942716</v>
      </c>
      <c r="P97" s="15">
        <v>-59825.984995942716</v>
      </c>
      <c r="Q97" s="15">
        <f>P97-R97+59826</f>
        <v>1.5004057284386363E-2</v>
      </c>
      <c r="R97" s="36">
        <v>0</v>
      </c>
      <c r="S97" s="15">
        <f t="shared" si="6"/>
        <v>1.5004057284386363E-2</v>
      </c>
      <c r="T97" s="16"/>
      <c r="U97" s="16"/>
    </row>
    <row r="98" spans="1:21" x14ac:dyDescent="0.25">
      <c r="A98" s="16" t="s">
        <v>37</v>
      </c>
      <c r="B98" s="16" t="s">
        <v>257</v>
      </c>
      <c r="C98" s="16" t="s">
        <v>258</v>
      </c>
      <c r="D98" s="16" t="s">
        <v>104</v>
      </c>
      <c r="E98" s="16" t="s">
        <v>105</v>
      </c>
      <c r="F98" s="16" t="s">
        <v>120</v>
      </c>
      <c r="G98" s="16" t="s">
        <v>121</v>
      </c>
      <c r="H98" s="16" t="s">
        <v>85</v>
      </c>
      <c r="I98" s="16" t="s">
        <v>40</v>
      </c>
      <c r="J98" s="16" t="s">
        <v>296</v>
      </c>
      <c r="K98" s="16" t="s">
        <v>297</v>
      </c>
      <c r="L98" s="15">
        <v>-20241.6959456</v>
      </c>
      <c r="M98" s="15">
        <v>-3470.447999999999</v>
      </c>
      <c r="N98" s="15">
        <v>-14397.604639999998</v>
      </c>
      <c r="O98" s="15">
        <v>-5844.0913056000009</v>
      </c>
      <c r="P98" s="15">
        <v>-5844.0913056000009</v>
      </c>
      <c r="Q98" s="15">
        <f t="shared" si="5"/>
        <v>-5844.0913056000009</v>
      </c>
      <c r="R98" s="36">
        <v>0</v>
      </c>
      <c r="S98" s="15">
        <f t="shared" si="6"/>
        <v>-5844.0913056000009</v>
      </c>
      <c r="T98" s="16"/>
      <c r="U98" s="26"/>
    </row>
    <row r="99" spans="1:21" x14ac:dyDescent="0.25">
      <c r="A99" s="16" t="s">
        <v>37</v>
      </c>
      <c r="B99" s="16" t="s">
        <v>257</v>
      </c>
      <c r="C99" s="16" t="s">
        <v>258</v>
      </c>
      <c r="D99" s="16" t="s">
        <v>104</v>
      </c>
      <c r="E99" s="16" t="s">
        <v>105</v>
      </c>
      <c r="F99" s="16" t="s">
        <v>120</v>
      </c>
      <c r="G99" s="16" t="s">
        <v>121</v>
      </c>
      <c r="H99" s="16" t="s">
        <v>85</v>
      </c>
      <c r="I99" s="16" t="s">
        <v>40</v>
      </c>
      <c r="J99" s="16" t="s">
        <v>298</v>
      </c>
      <c r="K99" s="16" t="s">
        <v>299</v>
      </c>
      <c r="L99" s="15">
        <v>-4944.8119483870978</v>
      </c>
      <c r="M99" s="15">
        <v>0</v>
      </c>
      <c r="N99" s="15">
        <v>-1955.0021379429995</v>
      </c>
      <c r="O99" s="15">
        <v>-2989.8098104440978</v>
      </c>
      <c r="P99" s="15">
        <v>-2989.8098104440978</v>
      </c>
      <c r="Q99" s="15">
        <f t="shared" si="5"/>
        <v>-2989.8098104440978</v>
      </c>
      <c r="R99" s="36">
        <v>0</v>
      </c>
      <c r="S99" s="15">
        <f t="shared" si="6"/>
        <v>-2989.8098104440978</v>
      </c>
      <c r="T99" s="16"/>
      <c r="U99" s="26"/>
    </row>
    <row r="100" spans="1:21" x14ac:dyDescent="0.25">
      <c r="A100" s="16" t="s">
        <v>37</v>
      </c>
      <c r="B100" s="16" t="s">
        <v>269</v>
      </c>
      <c r="C100" s="16" t="s">
        <v>270</v>
      </c>
      <c r="D100" s="16" t="s">
        <v>104</v>
      </c>
      <c r="E100" s="16" t="s">
        <v>105</v>
      </c>
      <c r="F100" s="16" t="s">
        <v>120</v>
      </c>
      <c r="G100" s="16" t="s">
        <v>121</v>
      </c>
      <c r="H100" s="16" t="s">
        <v>85</v>
      </c>
      <c r="I100" s="16" t="s">
        <v>40</v>
      </c>
      <c r="J100" s="16" t="s">
        <v>62</v>
      </c>
      <c r="K100" s="16" t="s">
        <v>63</v>
      </c>
      <c r="L100" s="15">
        <v>-7921.0080000000007</v>
      </c>
      <c r="M100" s="15">
        <v>-7921.0080000000007</v>
      </c>
      <c r="N100" s="15">
        <v>-7921.0099892799981</v>
      </c>
      <c r="O100" s="15">
        <v>1.9892799969269959E-3</v>
      </c>
      <c r="P100" s="15">
        <v>0</v>
      </c>
      <c r="Q100" s="15">
        <f t="shared" si="5"/>
        <v>0</v>
      </c>
      <c r="R100" s="36">
        <v>0</v>
      </c>
      <c r="S100" s="15">
        <f t="shared" si="6"/>
        <v>0</v>
      </c>
      <c r="T100" s="16"/>
      <c r="U100" s="16"/>
    </row>
    <row r="101" spans="1:21" x14ac:dyDescent="0.25">
      <c r="A101" s="16" t="s">
        <v>37</v>
      </c>
      <c r="B101" s="16" t="s">
        <v>269</v>
      </c>
      <c r="C101" s="16" t="s">
        <v>270</v>
      </c>
      <c r="D101" s="16" t="s">
        <v>104</v>
      </c>
      <c r="E101" s="16" t="s">
        <v>105</v>
      </c>
      <c r="F101" s="16" t="s">
        <v>122</v>
      </c>
      <c r="G101" s="16" t="s">
        <v>123</v>
      </c>
      <c r="H101" s="16" t="s">
        <v>85</v>
      </c>
      <c r="I101" s="16" t="s">
        <v>40</v>
      </c>
      <c r="J101" s="16" t="s">
        <v>38</v>
      </c>
      <c r="K101" s="16" t="s">
        <v>293</v>
      </c>
      <c r="L101" s="15">
        <v>-19342.896652360592</v>
      </c>
      <c r="M101" s="15">
        <v>0</v>
      </c>
      <c r="N101" s="15">
        <v>-5686.7016257294181</v>
      </c>
      <c r="O101" s="15">
        <v>-13656.195026631172</v>
      </c>
      <c r="P101" s="15">
        <v>-13656.195026631172</v>
      </c>
      <c r="Q101" s="15">
        <f>P101-R101+13656</f>
        <v>-0.19502663117236807</v>
      </c>
      <c r="R101" s="36">
        <v>0</v>
      </c>
      <c r="S101" s="15">
        <f t="shared" si="6"/>
        <v>-0.19502663117236807</v>
      </c>
      <c r="T101" s="16"/>
      <c r="U101" s="16"/>
    </row>
    <row r="102" spans="1:21" x14ac:dyDescent="0.25">
      <c r="A102" s="16" t="s">
        <v>37</v>
      </c>
      <c r="B102" s="16" t="s">
        <v>267</v>
      </c>
      <c r="C102" s="16" t="s">
        <v>268</v>
      </c>
      <c r="D102" s="16" t="s">
        <v>104</v>
      </c>
      <c r="E102" s="16" t="s">
        <v>105</v>
      </c>
      <c r="F102" s="16" t="s">
        <v>122</v>
      </c>
      <c r="G102" s="16" t="s">
        <v>123</v>
      </c>
      <c r="H102" s="16" t="s">
        <v>85</v>
      </c>
      <c r="I102" s="16" t="s">
        <v>40</v>
      </c>
      <c r="J102" s="16" t="s">
        <v>38</v>
      </c>
      <c r="K102" s="16" t="s">
        <v>293</v>
      </c>
      <c r="L102" s="15">
        <v>-1192459.7605022432</v>
      </c>
      <c r="M102" s="15">
        <v>-281956</v>
      </c>
      <c r="N102" s="15">
        <v>-327854.04341408605</v>
      </c>
      <c r="O102" s="15">
        <v>-864605.71708815719</v>
      </c>
      <c r="P102" s="15">
        <v>-864605.71708815719</v>
      </c>
      <c r="Q102" s="15">
        <f t="shared" si="5"/>
        <v>-864605.71708815719</v>
      </c>
      <c r="R102" s="36">
        <v>0</v>
      </c>
      <c r="S102" s="15">
        <f t="shared" si="6"/>
        <v>-864605.71708815719</v>
      </c>
      <c r="T102" s="16"/>
      <c r="U102" s="16"/>
    </row>
    <row r="103" spans="1:21" x14ac:dyDescent="0.25">
      <c r="A103" s="16" t="s">
        <v>37</v>
      </c>
      <c r="B103" s="16" t="s">
        <v>257</v>
      </c>
      <c r="C103" s="16" t="s">
        <v>258</v>
      </c>
      <c r="D103" s="16" t="s">
        <v>104</v>
      </c>
      <c r="E103" s="16" t="s">
        <v>105</v>
      </c>
      <c r="F103" s="16" t="s">
        <v>122</v>
      </c>
      <c r="G103" s="16" t="s">
        <v>123</v>
      </c>
      <c r="H103" s="16" t="s">
        <v>85</v>
      </c>
      <c r="I103" s="16" t="s">
        <v>40</v>
      </c>
      <c r="J103" s="16" t="s">
        <v>38</v>
      </c>
      <c r="K103" s="16" t="s">
        <v>293</v>
      </c>
      <c r="L103" s="15">
        <v>-155940.38020495852</v>
      </c>
      <c r="M103" s="15">
        <v>0</v>
      </c>
      <c r="N103" s="15">
        <v>-116979.9070200542</v>
      </c>
      <c r="O103" s="15">
        <v>-38960.473184904331</v>
      </c>
      <c r="P103" s="15">
        <v>-38960.473184904331</v>
      </c>
      <c r="Q103" s="15">
        <f>P103-R103+P101</f>
        <v>-52616.668211535507</v>
      </c>
      <c r="R103" s="36">
        <v>0</v>
      </c>
      <c r="S103" s="15">
        <f t="shared" si="6"/>
        <v>-52616.668211535507</v>
      </c>
      <c r="T103" s="16"/>
      <c r="U103" s="26"/>
    </row>
    <row r="104" spans="1:21" x14ac:dyDescent="0.25">
      <c r="A104" s="16" t="s">
        <v>37</v>
      </c>
      <c r="B104" s="16" t="s">
        <v>257</v>
      </c>
      <c r="C104" s="16" t="s">
        <v>258</v>
      </c>
      <c r="D104" s="16" t="s">
        <v>104</v>
      </c>
      <c r="E104" s="16" t="s">
        <v>105</v>
      </c>
      <c r="F104" s="16" t="s">
        <v>122</v>
      </c>
      <c r="G104" s="16" t="s">
        <v>123</v>
      </c>
      <c r="H104" s="16" t="s">
        <v>85</v>
      </c>
      <c r="I104" s="16" t="s">
        <v>40</v>
      </c>
      <c r="J104" s="16" t="s">
        <v>296</v>
      </c>
      <c r="K104" s="16" t="s">
        <v>297</v>
      </c>
      <c r="L104" s="15">
        <v>-5953.4399840000005</v>
      </c>
      <c r="M104" s="15">
        <v>-1020.72</v>
      </c>
      <c r="N104" s="15">
        <v>-4234.5896000000002</v>
      </c>
      <c r="O104" s="15">
        <v>-1718.8503840000003</v>
      </c>
      <c r="P104" s="15">
        <v>-1718.8503840000003</v>
      </c>
      <c r="Q104" s="15">
        <f t="shared" si="5"/>
        <v>-1718.8503840000003</v>
      </c>
      <c r="R104" s="36">
        <v>0</v>
      </c>
      <c r="S104" s="15">
        <f t="shared" si="6"/>
        <v>-1718.8503840000003</v>
      </c>
      <c r="T104" s="16"/>
      <c r="U104" s="26"/>
    </row>
    <row r="105" spans="1:21" x14ac:dyDescent="0.25">
      <c r="A105" s="16" t="s">
        <v>37</v>
      </c>
      <c r="B105" s="16" t="s">
        <v>267</v>
      </c>
      <c r="C105" s="16" t="s">
        <v>268</v>
      </c>
      <c r="D105" s="16" t="s">
        <v>104</v>
      </c>
      <c r="E105" s="16" t="s">
        <v>105</v>
      </c>
      <c r="F105" s="16" t="s">
        <v>122</v>
      </c>
      <c r="G105" s="16" t="s">
        <v>123</v>
      </c>
      <c r="H105" s="16" t="s">
        <v>85</v>
      </c>
      <c r="I105" s="16" t="s">
        <v>40</v>
      </c>
      <c r="J105" s="16" t="s">
        <v>124</v>
      </c>
      <c r="K105" s="16" t="s">
        <v>125</v>
      </c>
      <c r="L105" s="15">
        <v>-13049.616192966661</v>
      </c>
      <c r="M105" s="15">
        <v>0</v>
      </c>
      <c r="N105" s="15">
        <v>-11450.338299186993</v>
      </c>
      <c r="O105" s="15">
        <v>-1599.2778937796691</v>
      </c>
      <c r="P105" s="15">
        <v>0</v>
      </c>
      <c r="Q105" s="15">
        <f t="shared" si="5"/>
        <v>0</v>
      </c>
      <c r="R105" s="36">
        <v>0</v>
      </c>
      <c r="S105" s="15">
        <f t="shared" si="6"/>
        <v>0</v>
      </c>
      <c r="T105" s="16"/>
      <c r="U105" s="16"/>
    </row>
    <row r="106" spans="1:21" x14ac:dyDescent="0.25">
      <c r="A106" s="16" t="s">
        <v>37</v>
      </c>
      <c r="B106" s="16" t="s">
        <v>257</v>
      </c>
      <c r="C106" s="16" t="s">
        <v>258</v>
      </c>
      <c r="D106" s="16" t="s">
        <v>104</v>
      </c>
      <c r="E106" s="16" t="s">
        <v>105</v>
      </c>
      <c r="F106" s="16" t="s">
        <v>122</v>
      </c>
      <c r="G106" s="16" t="s">
        <v>123</v>
      </c>
      <c r="H106" s="16" t="s">
        <v>85</v>
      </c>
      <c r="I106" s="16" t="s">
        <v>40</v>
      </c>
      <c r="J106" s="16" t="s">
        <v>298</v>
      </c>
      <c r="K106" s="16" t="s">
        <v>299</v>
      </c>
      <c r="L106" s="15">
        <v>-78.741935483870961</v>
      </c>
      <c r="M106" s="15">
        <v>0</v>
      </c>
      <c r="N106" s="15">
        <v>-26.509935794800001</v>
      </c>
      <c r="O106" s="15">
        <v>-52.231999689070953</v>
      </c>
      <c r="P106" s="15">
        <v>-52.231999689070953</v>
      </c>
      <c r="Q106" s="15">
        <f t="shared" si="5"/>
        <v>-52.231999689070953</v>
      </c>
      <c r="R106" s="36">
        <v>0</v>
      </c>
      <c r="S106" s="15">
        <f t="shared" si="6"/>
        <v>-52.231999689070953</v>
      </c>
      <c r="T106" s="16"/>
      <c r="U106" s="26"/>
    </row>
    <row r="107" spans="1:21" x14ac:dyDescent="0.25">
      <c r="A107" s="16" t="s">
        <v>37</v>
      </c>
      <c r="B107" s="16" t="s">
        <v>269</v>
      </c>
      <c r="C107" s="16" t="s">
        <v>270</v>
      </c>
      <c r="D107" s="16" t="s">
        <v>104</v>
      </c>
      <c r="E107" s="16" t="s">
        <v>105</v>
      </c>
      <c r="F107" s="16" t="s">
        <v>122</v>
      </c>
      <c r="G107" s="16" t="s">
        <v>123</v>
      </c>
      <c r="H107" s="16" t="s">
        <v>85</v>
      </c>
      <c r="I107" s="16" t="s">
        <v>40</v>
      </c>
      <c r="J107" s="16" t="s">
        <v>62</v>
      </c>
      <c r="K107" s="16" t="s">
        <v>63</v>
      </c>
      <c r="L107" s="15">
        <v>-3916.1699999999992</v>
      </c>
      <c r="M107" s="15">
        <v>-3916.1699999999992</v>
      </c>
      <c r="N107" s="15">
        <v>-3916.1699946999997</v>
      </c>
      <c r="O107" s="15">
        <v>-5.2999997706137947E-6</v>
      </c>
      <c r="P107" s="15">
        <v>0</v>
      </c>
      <c r="Q107" s="15">
        <f t="shared" si="5"/>
        <v>0</v>
      </c>
      <c r="R107" s="36">
        <v>0</v>
      </c>
      <c r="S107" s="15">
        <f t="shared" si="6"/>
        <v>0</v>
      </c>
      <c r="T107" s="16"/>
      <c r="U107" s="16"/>
    </row>
    <row r="108" spans="1:21" x14ac:dyDescent="0.25">
      <c r="A108" s="16" t="s">
        <v>37</v>
      </c>
      <c r="B108" s="16" t="s">
        <v>267</v>
      </c>
      <c r="C108" s="16" t="s">
        <v>268</v>
      </c>
      <c r="D108" s="16" t="s">
        <v>104</v>
      </c>
      <c r="E108" s="16" t="s">
        <v>105</v>
      </c>
      <c r="F108" s="16" t="s">
        <v>122</v>
      </c>
      <c r="G108" s="16" t="s">
        <v>123</v>
      </c>
      <c r="H108" s="16" t="s">
        <v>85</v>
      </c>
      <c r="I108" s="16" t="s">
        <v>40</v>
      </c>
      <c r="J108" s="16" t="s">
        <v>71</v>
      </c>
      <c r="K108" s="16" t="s">
        <v>72</v>
      </c>
      <c r="L108" s="15">
        <v>-2072000</v>
      </c>
      <c r="M108" s="15">
        <v>0</v>
      </c>
      <c r="N108" s="15">
        <v>-208695.62999999998</v>
      </c>
      <c r="O108" s="15">
        <v>-1863304.37</v>
      </c>
      <c r="P108" s="15">
        <v>-1863304.37</v>
      </c>
      <c r="Q108" s="15">
        <f t="shared" si="5"/>
        <v>-863304.37000000011</v>
      </c>
      <c r="R108" s="36">
        <v>-1000000</v>
      </c>
      <c r="S108" s="15">
        <f t="shared" si="6"/>
        <v>-1863304.37</v>
      </c>
      <c r="T108" s="16"/>
      <c r="U108" s="16"/>
    </row>
    <row r="109" spans="1:21" x14ac:dyDescent="0.25">
      <c r="A109" s="16" t="s">
        <v>37</v>
      </c>
      <c r="B109" s="16" t="s">
        <v>267</v>
      </c>
      <c r="C109" s="16" t="s">
        <v>268</v>
      </c>
      <c r="D109" s="16" t="s">
        <v>104</v>
      </c>
      <c r="E109" s="16" t="s">
        <v>105</v>
      </c>
      <c r="F109" s="16" t="s">
        <v>126</v>
      </c>
      <c r="G109" s="16" t="s">
        <v>127</v>
      </c>
      <c r="H109" s="16" t="s">
        <v>85</v>
      </c>
      <c r="I109" s="16" t="s">
        <v>40</v>
      </c>
      <c r="J109" s="16" t="s">
        <v>38</v>
      </c>
      <c r="K109" s="16" t="s">
        <v>293</v>
      </c>
      <c r="L109" s="15">
        <v>-991938.38925775676</v>
      </c>
      <c r="M109" s="15">
        <v>0</v>
      </c>
      <c r="N109" s="15">
        <v>-873123.37508591427</v>
      </c>
      <c r="O109" s="15">
        <v>-118815.01417184281</v>
      </c>
      <c r="P109" s="15">
        <v>-118815.01417184281</v>
      </c>
      <c r="Q109" s="15">
        <f t="shared" si="5"/>
        <v>-118815.01417184281</v>
      </c>
      <c r="R109" s="36">
        <v>0</v>
      </c>
      <c r="S109" s="15">
        <f t="shared" si="6"/>
        <v>-118815.01417184281</v>
      </c>
      <c r="T109" s="16"/>
      <c r="U109" s="16"/>
    </row>
    <row r="110" spans="1:21" x14ac:dyDescent="0.25">
      <c r="A110" s="16" t="s">
        <v>37</v>
      </c>
      <c r="B110" s="16" t="s">
        <v>269</v>
      </c>
      <c r="C110" s="16" t="s">
        <v>270</v>
      </c>
      <c r="D110" s="16" t="s">
        <v>104</v>
      </c>
      <c r="E110" s="16" t="s">
        <v>105</v>
      </c>
      <c r="F110" s="16" t="s">
        <v>126</v>
      </c>
      <c r="G110" s="16" t="s">
        <v>127</v>
      </c>
      <c r="H110" s="16" t="s">
        <v>85</v>
      </c>
      <c r="I110" s="16" t="s">
        <v>40</v>
      </c>
      <c r="J110" s="16" t="s">
        <v>38</v>
      </c>
      <c r="K110" s="16" t="s">
        <v>293</v>
      </c>
      <c r="L110" s="15">
        <v>-15747</v>
      </c>
      <c r="M110" s="15">
        <v>0</v>
      </c>
      <c r="N110" s="15">
        <v>0</v>
      </c>
      <c r="O110" s="15">
        <v>-15747</v>
      </c>
      <c r="P110" s="15">
        <v>-15747</v>
      </c>
      <c r="Q110" s="15">
        <f>P110-R110+15747</f>
        <v>0</v>
      </c>
      <c r="R110" s="36">
        <v>0</v>
      </c>
      <c r="S110" s="15">
        <f t="shared" si="6"/>
        <v>0</v>
      </c>
      <c r="T110" s="16"/>
      <c r="U110" s="16"/>
    </row>
    <row r="111" spans="1:21" x14ac:dyDescent="0.25">
      <c r="A111" s="16" t="s">
        <v>37</v>
      </c>
      <c r="B111" s="16" t="s">
        <v>257</v>
      </c>
      <c r="C111" s="16" t="s">
        <v>258</v>
      </c>
      <c r="D111" s="16" t="s">
        <v>104</v>
      </c>
      <c r="E111" s="16" t="s">
        <v>105</v>
      </c>
      <c r="F111" s="16" t="s">
        <v>126</v>
      </c>
      <c r="G111" s="16" t="s">
        <v>127</v>
      </c>
      <c r="H111" s="16" t="s">
        <v>85</v>
      </c>
      <c r="I111" s="16" t="s">
        <v>40</v>
      </c>
      <c r="J111" s="16" t="s">
        <v>38</v>
      </c>
      <c r="K111" s="16" t="s">
        <v>293</v>
      </c>
      <c r="L111" s="15">
        <v>2.9485090635716915E-7</v>
      </c>
      <c r="M111" s="15">
        <v>0</v>
      </c>
      <c r="N111" s="15">
        <v>-56.000000000000007</v>
      </c>
      <c r="O111" s="15">
        <v>56.000000294850906</v>
      </c>
      <c r="P111" s="15">
        <f>O111</f>
        <v>56.000000294850906</v>
      </c>
      <c r="Q111" s="15">
        <f>P111-R111+P110</f>
        <v>-15690.999999705149</v>
      </c>
      <c r="R111" s="36">
        <v>0</v>
      </c>
      <c r="S111" s="15">
        <f t="shared" si="6"/>
        <v>-15690.999999705149</v>
      </c>
      <c r="T111" s="16"/>
      <c r="U111" s="26"/>
    </row>
    <row r="112" spans="1:21" x14ac:dyDescent="0.25">
      <c r="A112" s="16" t="s">
        <v>37</v>
      </c>
      <c r="B112" s="16" t="s">
        <v>267</v>
      </c>
      <c r="C112" s="16" t="s">
        <v>268</v>
      </c>
      <c r="D112" s="16" t="s">
        <v>104</v>
      </c>
      <c r="E112" s="16" t="s">
        <v>105</v>
      </c>
      <c r="F112" s="16" t="s">
        <v>126</v>
      </c>
      <c r="G112" s="16" t="s">
        <v>127</v>
      </c>
      <c r="H112" s="16" t="s">
        <v>85</v>
      </c>
      <c r="I112" s="16" t="s">
        <v>40</v>
      </c>
      <c r="J112" s="16" t="s">
        <v>124</v>
      </c>
      <c r="K112" s="16" t="s">
        <v>125</v>
      </c>
      <c r="L112" s="15">
        <v>-82503.99539703333</v>
      </c>
      <c r="M112" s="15">
        <v>0</v>
      </c>
      <c r="N112" s="15">
        <v>-69446.541700813017</v>
      </c>
      <c r="O112" s="15">
        <v>-13057.453696220324</v>
      </c>
      <c r="P112" s="15">
        <v>0</v>
      </c>
      <c r="Q112" s="15">
        <f t="shared" si="5"/>
        <v>0</v>
      </c>
      <c r="R112" s="36">
        <v>0</v>
      </c>
      <c r="S112" s="15">
        <f t="shared" si="6"/>
        <v>0</v>
      </c>
      <c r="T112" s="16"/>
      <c r="U112" s="16"/>
    </row>
    <row r="113" spans="1:21" x14ac:dyDescent="0.25">
      <c r="A113" s="16" t="s">
        <v>37</v>
      </c>
      <c r="B113" s="16" t="s">
        <v>269</v>
      </c>
      <c r="C113" s="16" t="s">
        <v>270</v>
      </c>
      <c r="D113" s="16" t="s">
        <v>100</v>
      </c>
      <c r="E113" s="16" t="s">
        <v>101</v>
      </c>
      <c r="F113" s="16" t="s">
        <v>128</v>
      </c>
      <c r="G113" s="16" t="s">
        <v>129</v>
      </c>
      <c r="H113" s="16" t="s">
        <v>85</v>
      </c>
      <c r="I113" s="16" t="s">
        <v>40</v>
      </c>
      <c r="J113" s="16" t="s">
        <v>38</v>
      </c>
      <c r="K113" s="16" t="s">
        <v>293</v>
      </c>
      <c r="L113" s="15">
        <v>-90656.154264193028</v>
      </c>
      <c r="M113" s="15">
        <v>-5946.2613757498011</v>
      </c>
      <c r="N113" s="15">
        <v>-633206.52091066563</v>
      </c>
      <c r="O113" s="15">
        <v>542550.3666464726</v>
      </c>
      <c r="P113" s="15">
        <f>O113</f>
        <v>542550.3666464726</v>
      </c>
      <c r="Q113" s="15">
        <f>P113-R113-542550</f>
        <v>0.36664647259749472</v>
      </c>
      <c r="R113" s="36">
        <v>0</v>
      </c>
      <c r="S113" s="15">
        <f>SUM(Q113:R113)</f>
        <v>0.36664647259749472</v>
      </c>
      <c r="T113" s="16"/>
      <c r="U113" s="16"/>
    </row>
    <row r="114" spans="1:21" x14ac:dyDescent="0.25">
      <c r="A114" s="16" t="s">
        <v>37</v>
      </c>
      <c r="B114" s="16" t="s">
        <v>265</v>
      </c>
      <c r="C114" s="16" t="s">
        <v>266</v>
      </c>
      <c r="D114" s="16" t="s">
        <v>100</v>
      </c>
      <c r="E114" s="16" t="s">
        <v>101</v>
      </c>
      <c r="F114" s="16" t="s">
        <v>128</v>
      </c>
      <c r="G114" s="16" t="s">
        <v>129</v>
      </c>
      <c r="H114" s="16" t="s">
        <v>85</v>
      </c>
      <c r="I114" s="16" t="s">
        <v>40</v>
      </c>
      <c r="J114" s="16" t="s">
        <v>38</v>
      </c>
      <c r="K114" s="16" t="s">
        <v>293</v>
      </c>
      <c r="L114" s="15">
        <v>-104604.27194484325</v>
      </c>
      <c r="M114" s="15">
        <v>-207.7700043052651</v>
      </c>
      <c r="N114" s="15">
        <v>-100436.98215422445</v>
      </c>
      <c r="O114" s="15">
        <v>-4167.2897906187891</v>
      </c>
      <c r="P114" s="15">
        <v>-4167.2897906187891</v>
      </c>
      <c r="Q114" s="15">
        <f t="shared" si="5"/>
        <v>-4167.2897906187891</v>
      </c>
      <c r="R114" s="36">
        <v>0</v>
      </c>
      <c r="S114" s="15">
        <f t="shared" si="6"/>
        <v>-4167.2897906187891</v>
      </c>
      <c r="T114" s="16"/>
      <c r="U114" s="16"/>
    </row>
    <row r="115" spans="1:21" x14ac:dyDescent="0.25">
      <c r="A115" s="16" t="s">
        <v>37</v>
      </c>
      <c r="B115" s="16" t="s">
        <v>261</v>
      </c>
      <c r="C115" s="16" t="s">
        <v>262</v>
      </c>
      <c r="D115" s="16" t="s">
        <v>100</v>
      </c>
      <c r="E115" s="16" t="s">
        <v>101</v>
      </c>
      <c r="F115" s="16" t="s">
        <v>128</v>
      </c>
      <c r="G115" s="16" t="s">
        <v>129</v>
      </c>
      <c r="H115" s="16" t="s">
        <v>85</v>
      </c>
      <c r="I115" s="16" t="s">
        <v>40</v>
      </c>
      <c r="J115" s="16" t="s">
        <v>38</v>
      </c>
      <c r="K115" s="16" t="s">
        <v>293</v>
      </c>
      <c r="L115" s="15">
        <v>-146277.17261269793</v>
      </c>
      <c r="M115" s="15">
        <v>-15905.560000000001</v>
      </c>
      <c r="N115" s="15">
        <v>-124689.36954531149</v>
      </c>
      <c r="O115" s="15">
        <v>-21587.803067386427</v>
      </c>
      <c r="P115" s="15">
        <v>-21587.803067386427</v>
      </c>
      <c r="Q115" s="15">
        <f t="shared" si="5"/>
        <v>-21587.803067386427</v>
      </c>
      <c r="R115" s="36">
        <v>0</v>
      </c>
      <c r="S115" s="15">
        <f t="shared" si="6"/>
        <v>-21587.803067386427</v>
      </c>
      <c r="T115" s="16"/>
      <c r="U115" s="16"/>
    </row>
    <row r="116" spans="1:21" x14ac:dyDescent="0.25">
      <c r="A116" s="16" t="s">
        <v>37</v>
      </c>
      <c r="B116" s="16" t="s">
        <v>257</v>
      </c>
      <c r="C116" s="16" t="s">
        <v>258</v>
      </c>
      <c r="D116" s="16" t="s">
        <v>100</v>
      </c>
      <c r="E116" s="16" t="s">
        <v>101</v>
      </c>
      <c r="F116" s="16" t="s">
        <v>128</v>
      </c>
      <c r="G116" s="16" t="s">
        <v>129</v>
      </c>
      <c r="H116" s="16" t="s">
        <v>85</v>
      </c>
      <c r="I116" s="16" t="s">
        <v>40</v>
      </c>
      <c r="J116" s="16" t="s">
        <v>38</v>
      </c>
      <c r="K116" s="16" t="s">
        <v>293</v>
      </c>
      <c r="L116" s="15">
        <v>-1467588.4903199361</v>
      </c>
      <c r="M116" s="15">
        <v>-91230.434561292393</v>
      </c>
      <c r="N116" s="15">
        <v>-1564588.717992377</v>
      </c>
      <c r="O116" s="15">
        <v>97000.227672441484</v>
      </c>
      <c r="P116" s="15">
        <f>O116</f>
        <v>97000.227672441484</v>
      </c>
      <c r="Q116" s="15">
        <f>P116-R116+P113-639550.59+4167.29+21587.8-0.36</f>
        <v>25754.734318914143</v>
      </c>
      <c r="R116" s="36">
        <v>0</v>
      </c>
      <c r="S116" s="15">
        <f t="shared" si="6"/>
        <v>25754.734318914143</v>
      </c>
      <c r="T116" s="16"/>
      <c r="U116" s="26"/>
    </row>
    <row r="117" spans="1:21" x14ac:dyDescent="0.25">
      <c r="A117" s="16" t="s">
        <v>37</v>
      </c>
      <c r="B117" s="16" t="s">
        <v>257</v>
      </c>
      <c r="C117" s="16" t="s">
        <v>258</v>
      </c>
      <c r="D117" s="16" t="s">
        <v>100</v>
      </c>
      <c r="E117" s="16" t="s">
        <v>101</v>
      </c>
      <c r="F117" s="16" t="s">
        <v>128</v>
      </c>
      <c r="G117" s="16" t="s">
        <v>129</v>
      </c>
      <c r="H117" s="16" t="s">
        <v>85</v>
      </c>
      <c r="I117" s="16" t="s">
        <v>40</v>
      </c>
      <c r="J117" s="16" t="s">
        <v>285</v>
      </c>
      <c r="K117" s="16" t="s">
        <v>286</v>
      </c>
      <c r="L117" s="15">
        <v>1.000000047497451E-4</v>
      </c>
      <c r="M117" s="15">
        <v>0</v>
      </c>
      <c r="N117" s="15">
        <v>0</v>
      </c>
      <c r="O117" s="15">
        <v>1.000000047497451E-4</v>
      </c>
      <c r="P117" s="15">
        <v>0</v>
      </c>
      <c r="Q117" s="15">
        <f t="shared" si="5"/>
        <v>0</v>
      </c>
      <c r="R117" s="36">
        <v>0</v>
      </c>
      <c r="S117" s="15">
        <f t="shared" si="6"/>
        <v>0</v>
      </c>
      <c r="T117" s="16"/>
      <c r="U117" s="26"/>
    </row>
    <row r="118" spans="1:21" x14ac:dyDescent="0.25">
      <c r="A118" s="16" t="s">
        <v>37</v>
      </c>
      <c r="B118" s="16" t="s">
        <v>269</v>
      </c>
      <c r="C118" s="16" t="s">
        <v>270</v>
      </c>
      <c r="D118" s="16" t="s">
        <v>100</v>
      </c>
      <c r="E118" s="16" t="s">
        <v>101</v>
      </c>
      <c r="F118" s="16" t="s">
        <v>128</v>
      </c>
      <c r="G118" s="16" t="s">
        <v>129</v>
      </c>
      <c r="H118" s="16" t="s">
        <v>85</v>
      </c>
      <c r="I118" s="16" t="s">
        <v>40</v>
      </c>
      <c r="J118" s="16" t="s">
        <v>130</v>
      </c>
      <c r="K118" s="16" t="s">
        <v>131</v>
      </c>
      <c r="L118" s="15">
        <v>-1681.4200000058054</v>
      </c>
      <c r="M118" s="15">
        <v>-1681.4200000058054</v>
      </c>
      <c r="N118" s="15">
        <v>0</v>
      </c>
      <c r="O118" s="15">
        <v>-1681.4200000058054</v>
      </c>
      <c r="P118" s="15">
        <v>-1681.4200000058054</v>
      </c>
      <c r="Q118" s="15">
        <f t="shared" si="5"/>
        <v>-1681.4200000058054</v>
      </c>
      <c r="R118" s="36">
        <v>0</v>
      </c>
      <c r="S118" s="15">
        <f t="shared" si="6"/>
        <v>-1681.4200000058054</v>
      </c>
      <c r="T118" s="16"/>
      <c r="U118" s="16"/>
    </row>
    <row r="119" spans="1:21" x14ac:dyDescent="0.25">
      <c r="A119" s="16" t="s">
        <v>37</v>
      </c>
      <c r="B119" s="16" t="s">
        <v>257</v>
      </c>
      <c r="C119" s="16" t="s">
        <v>258</v>
      </c>
      <c r="D119" s="16" t="s">
        <v>100</v>
      </c>
      <c r="E119" s="16" t="s">
        <v>101</v>
      </c>
      <c r="F119" s="16" t="s">
        <v>128</v>
      </c>
      <c r="G119" s="16" t="s">
        <v>129</v>
      </c>
      <c r="H119" s="16" t="s">
        <v>85</v>
      </c>
      <c r="I119" s="16" t="s">
        <v>40</v>
      </c>
      <c r="J119" s="16" t="s">
        <v>296</v>
      </c>
      <c r="K119" s="16" t="s">
        <v>297</v>
      </c>
      <c r="L119" s="15">
        <v>-1145.8249643228846</v>
      </c>
      <c r="M119" s="15">
        <v>-844.36826584999994</v>
      </c>
      <c r="N119" s="15">
        <v>-1002.1701719999837</v>
      </c>
      <c r="O119" s="15">
        <v>-143.65479232289363</v>
      </c>
      <c r="P119" s="15">
        <v>-143.65479232289363</v>
      </c>
      <c r="Q119" s="15">
        <f>P119-R119+143.65</f>
        <v>-4.7923228936213036E-3</v>
      </c>
      <c r="R119" s="36">
        <v>0</v>
      </c>
      <c r="S119" s="15">
        <f t="shared" si="6"/>
        <v>-4.7923228936213036E-3</v>
      </c>
      <c r="T119" s="16"/>
      <c r="U119" s="26"/>
    </row>
    <row r="120" spans="1:21" x14ac:dyDescent="0.25">
      <c r="A120" s="16" t="s">
        <v>37</v>
      </c>
      <c r="B120" s="16" t="s">
        <v>269</v>
      </c>
      <c r="C120" s="16" t="s">
        <v>270</v>
      </c>
      <c r="D120" s="16" t="s">
        <v>100</v>
      </c>
      <c r="E120" s="16" t="s">
        <v>101</v>
      </c>
      <c r="F120" s="16" t="s">
        <v>128</v>
      </c>
      <c r="G120" s="16" t="s">
        <v>129</v>
      </c>
      <c r="H120" s="16" t="s">
        <v>85</v>
      </c>
      <c r="I120" s="16" t="s">
        <v>40</v>
      </c>
      <c r="J120" s="16" t="s">
        <v>124</v>
      </c>
      <c r="K120" s="16" t="s">
        <v>125</v>
      </c>
      <c r="L120" s="15">
        <v>-321.07147538263666</v>
      </c>
      <c r="M120" s="15">
        <v>0</v>
      </c>
      <c r="N120" s="15">
        <v>-255.89999999999981</v>
      </c>
      <c r="O120" s="15">
        <v>-65.171475382636871</v>
      </c>
      <c r="P120" s="15">
        <v>0</v>
      </c>
      <c r="Q120" s="15">
        <f t="shared" si="5"/>
        <v>0</v>
      </c>
      <c r="R120" s="36">
        <v>0</v>
      </c>
      <c r="S120" s="15">
        <f t="shared" si="6"/>
        <v>0</v>
      </c>
      <c r="T120" s="16"/>
      <c r="U120" s="16"/>
    </row>
    <row r="121" spans="1:21" x14ac:dyDescent="0.25">
      <c r="A121" s="16" t="s">
        <v>37</v>
      </c>
      <c r="B121" s="16" t="s">
        <v>257</v>
      </c>
      <c r="C121" s="16" t="s">
        <v>258</v>
      </c>
      <c r="D121" s="16" t="s">
        <v>100</v>
      </c>
      <c r="E121" s="16" t="s">
        <v>101</v>
      </c>
      <c r="F121" s="16" t="s">
        <v>128</v>
      </c>
      <c r="G121" s="16" t="s">
        <v>129</v>
      </c>
      <c r="H121" s="16" t="s">
        <v>85</v>
      </c>
      <c r="I121" s="16" t="s">
        <v>40</v>
      </c>
      <c r="J121" s="16" t="s">
        <v>124</v>
      </c>
      <c r="K121" s="16" t="s">
        <v>125</v>
      </c>
      <c r="L121" s="15">
        <v>-135.2663</v>
      </c>
      <c r="M121" s="15">
        <v>0</v>
      </c>
      <c r="N121" s="15">
        <v>-102.38794399999999</v>
      </c>
      <c r="O121" s="15">
        <v>-32.878356000000025</v>
      </c>
      <c r="P121" s="15">
        <v>0</v>
      </c>
      <c r="Q121" s="15">
        <f t="shared" si="5"/>
        <v>0</v>
      </c>
      <c r="R121" s="36">
        <v>0</v>
      </c>
      <c r="S121" s="15">
        <f t="shared" si="6"/>
        <v>0</v>
      </c>
      <c r="T121" s="16"/>
      <c r="U121" s="26"/>
    </row>
    <row r="122" spans="1:21" x14ac:dyDescent="0.25">
      <c r="A122" s="16" t="s">
        <v>37</v>
      </c>
      <c r="B122" s="16" t="s">
        <v>261</v>
      </c>
      <c r="C122" s="16" t="s">
        <v>262</v>
      </c>
      <c r="D122" s="16" t="s">
        <v>100</v>
      </c>
      <c r="E122" s="16" t="s">
        <v>101</v>
      </c>
      <c r="F122" s="16" t="s">
        <v>128</v>
      </c>
      <c r="G122" s="16" t="s">
        <v>129</v>
      </c>
      <c r="H122" s="16" t="s">
        <v>85</v>
      </c>
      <c r="I122" s="16" t="s">
        <v>40</v>
      </c>
      <c r="J122" s="16" t="s">
        <v>124</v>
      </c>
      <c r="K122" s="16" t="s">
        <v>125</v>
      </c>
      <c r="L122" s="15">
        <v>-4621.5917088499991</v>
      </c>
      <c r="M122" s="15">
        <v>0</v>
      </c>
      <c r="N122" s="15">
        <v>-3202.3428616416004</v>
      </c>
      <c r="O122" s="15">
        <v>-1419.2488472083992</v>
      </c>
      <c r="P122" s="15">
        <v>0</v>
      </c>
      <c r="Q122" s="15">
        <f t="shared" si="5"/>
        <v>0</v>
      </c>
      <c r="R122" s="36">
        <v>0</v>
      </c>
      <c r="S122" s="15">
        <f t="shared" si="6"/>
        <v>0</v>
      </c>
      <c r="T122" s="16"/>
      <c r="U122" s="16"/>
    </row>
    <row r="123" spans="1:21" x14ac:dyDescent="0.25">
      <c r="A123" s="16" t="s">
        <v>37</v>
      </c>
      <c r="B123" s="16" t="s">
        <v>265</v>
      </c>
      <c r="C123" s="16" t="s">
        <v>266</v>
      </c>
      <c r="D123" s="16" t="s">
        <v>100</v>
      </c>
      <c r="E123" s="16" t="s">
        <v>101</v>
      </c>
      <c r="F123" s="16" t="s">
        <v>128</v>
      </c>
      <c r="G123" s="16" t="s">
        <v>129</v>
      </c>
      <c r="H123" s="16" t="s">
        <v>85</v>
      </c>
      <c r="I123" s="16" t="s">
        <v>40</v>
      </c>
      <c r="J123" s="16" t="s">
        <v>124</v>
      </c>
      <c r="K123" s="16" t="s">
        <v>125</v>
      </c>
      <c r="L123" s="15">
        <v>-11405.008737453461</v>
      </c>
      <c r="M123" s="15">
        <v>0</v>
      </c>
      <c r="N123" s="15">
        <v>-9136.4510849970629</v>
      </c>
      <c r="O123" s="15">
        <v>-2268.5576524563971</v>
      </c>
      <c r="P123" s="15">
        <v>0</v>
      </c>
      <c r="Q123" s="15">
        <f t="shared" si="5"/>
        <v>0</v>
      </c>
      <c r="R123" s="36">
        <v>0</v>
      </c>
      <c r="S123" s="15">
        <f t="shared" si="6"/>
        <v>0</v>
      </c>
      <c r="T123" s="16"/>
      <c r="U123" s="16"/>
    </row>
    <row r="124" spans="1:21" x14ac:dyDescent="0.25">
      <c r="A124" s="16" t="s">
        <v>37</v>
      </c>
      <c r="B124" s="16" t="s">
        <v>257</v>
      </c>
      <c r="C124" s="16" t="s">
        <v>258</v>
      </c>
      <c r="D124" s="16" t="s">
        <v>100</v>
      </c>
      <c r="E124" s="16" t="s">
        <v>101</v>
      </c>
      <c r="F124" s="16" t="s">
        <v>128</v>
      </c>
      <c r="G124" s="16" t="s">
        <v>129</v>
      </c>
      <c r="H124" s="16" t="s">
        <v>85</v>
      </c>
      <c r="I124" s="16" t="s">
        <v>40</v>
      </c>
      <c r="J124" s="16" t="s">
        <v>298</v>
      </c>
      <c r="K124" s="16" t="s">
        <v>299</v>
      </c>
      <c r="L124" s="15">
        <v>-137710.38071764025</v>
      </c>
      <c r="M124" s="15">
        <v>-435.59045400000008</v>
      </c>
      <c r="N124" s="15">
        <v>-73822.149265783781</v>
      </c>
      <c r="O124" s="15">
        <v>-63888.231451856489</v>
      </c>
      <c r="P124" s="15">
        <v>-63888.231451856489</v>
      </c>
      <c r="Q124" s="15">
        <f>P124-R124+63888.23</f>
        <v>-1.4518564858008176E-3</v>
      </c>
      <c r="R124" s="36">
        <v>0</v>
      </c>
      <c r="S124" s="15">
        <f t="shared" si="6"/>
        <v>-1.4518564858008176E-3</v>
      </c>
      <c r="T124" s="16"/>
      <c r="U124" s="26"/>
    </row>
    <row r="125" spans="1:21" x14ac:dyDescent="0.25">
      <c r="A125" s="16" t="s">
        <v>37</v>
      </c>
      <c r="B125" s="16" t="s">
        <v>269</v>
      </c>
      <c r="C125" s="16" t="s">
        <v>270</v>
      </c>
      <c r="D125" s="16" t="s">
        <v>100</v>
      </c>
      <c r="E125" s="16" t="s">
        <v>101</v>
      </c>
      <c r="F125" s="16" t="s">
        <v>128</v>
      </c>
      <c r="G125" s="16" t="s">
        <v>129</v>
      </c>
      <c r="H125" s="16" t="s">
        <v>85</v>
      </c>
      <c r="I125" s="16" t="s">
        <v>40</v>
      </c>
      <c r="J125" s="16" t="s">
        <v>132</v>
      </c>
      <c r="K125" s="16" t="s">
        <v>133</v>
      </c>
      <c r="L125" s="15">
        <v>-10260.98531490727</v>
      </c>
      <c r="M125" s="15">
        <v>-10260.98531490727</v>
      </c>
      <c r="N125" s="15">
        <v>-10260.979998128665</v>
      </c>
      <c r="O125" s="15">
        <v>-5.3167786020367203E-3</v>
      </c>
      <c r="P125" s="15">
        <v>0</v>
      </c>
      <c r="Q125" s="15">
        <f t="shared" si="5"/>
        <v>0</v>
      </c>
      <c r="R125" s="36">
        <v>0</v>
      </c>
      <c r="S125" s="15">
        <f t="shared" si="6"/>
        <v>0</v>
      </c>
      <c r="T125" s="16"/>
      <c r="U125" s="16"/>
    </row>
    <row r="126" spans="1:21" x14ac:dyDescent="0.25">
      <c r="A126" s="16" t="s">
        <v>37</v>
      </c>
      <c r="B126" s="16" t="s">
        <v>269</v>
      </c>
      <c r="C126" s="16" t="s">
        <v>270</v>
      </c>
      <c r="D126" s="16" t="s">
        <v>100</v>
      </c>
      <c r="E126" s="16" t="s">
        <v>101</v>
      </c>
      <c r="F126" s="16" t="s">
        <v>128</v>
      </c>
      <c r="G126" s="16" t="s">
        <v>129</v>
      </c>
      <c r="H126" s="16" t="s">
        <v>85</v>
      </c>
      <c r="I126" s="16" t="s">
        <v>40</v>
      </c>
      <c r="J126" s="16" t="s">
        <v>64</v>
      </c>
      <c r="K126" s="16" t="s">
        <v>65</v>
      </c>
      <c r="L126" s="15">
        <v>-21561.963315181798</v>
      </c>
      <c r="M126" s="15">
        <v>0</v>
      </c>
      <c r="N126" s="15">
        <v>-18272.519971045389</v>
      </c>
      <c r="O126" s="15">
        <v>-3289.4433441364149</v>
      </c>
      <c r="P126" s="15">
        <v>-3289.4433441364149</v>
      </c>
      <c r="Q126" s="15">
        <f t="shared" si="5"/>
        <v>-3289.4433441364149</v>
      </c>
      <c r="R126" s="36">
        <v>0</v>
      </c>
      <c r="S126" s="15">
        <f t="shared" si="6"/>
        <v>-3289.4433441364149</v>
      </c>
      <c r="T126" s="16"/>
      <c r="U126" s="16"/>
    </row>
    <row r="127" spans="1:21" x14ac:dyDescent="0.25">
      <c r="A127" s="16" t="s">
        <v>37</v>
      </c>
      <c r="B127" s="16" t="s">
        <v>269</v>
      </c>
      <c r="C127" s="16" t="s">
        <v>270</v>
      </c>
      <c r="D127" s="16" t="s">
        <v>100</v>
      </c>
      <c r="E127" s="16" t="s">
        <v>101</v>
      </c>
      <c r="F127" s="16" t="s">
        <v>128</v>
      </c>
      <c r="G127" s="16" t="s">
        <v>129</v>
      </c>
      <c r="H127" s="16" t="s">
        <v>85</v>
      </c>
      <c r="I127" s="16" t="s">
        <v>40</v>
      </c>
      <c r="J127" s="16" t="s">
        <v>66</v>
      </c>
      <c r="K127" s="16" t="s">
        <v>63</v>
      </c>
      <c r="L127" s="15">
        <v>-21575.433222456802</v>
      </c>
      <c r="M127" s="15">
        <v>-21575.433222456802</v>
      </c>
      <c r="N127" s="15">
        <v>-21575.419981705989</v>
      </c>
      <c r="O127" s="15">
        <v>-1.3240750809814017E-2</v>
      </c>
      <c r="P127" s="15">
        <v>0</v>
      </c>
      <c r="Q127" s="15">
        <f t="shared" si="5"/>
        <v>0</v>
      </c>
      <c r="R127" s="36">
        <v>0</v>
      </c>
      <c r="S127" s="15">
        <f t="shared" si="6"/>
        <v>0</v>
      </c>
      <c r="T127" s="16"/>
      <c r="U127" s="16"/>
    </row>
    <row r="128" spans="1:21" x14ac:dyDescent="0.25">
      <c r="A128" s="16" t="s">
        <v>37</v>
      </c>
      <c r="B128" s="16" t="s">
        <v>257</v>
      </c>
      <c r="C128" s="16" t="s">
        <v>258</v>
      </c>
      <c r="D128" s="16" t="s">
        <v>100</v>
      </c>
      <c r="E128" s="16" t="s">
        <v>101</v>
      </c>
      <c r="F128" s="16" t="s">
        <v>128</v>
      </c>
      <c r="G128" s="16" t="s">
        <v>129</v>
      </c>
      <c r="H128" s="16" t="s">
        <v>85</v>
      </c>
      <c r="I128" s="16" t="s">
        <v>40</v>
      </c>
      <c r="J128" s="16" t="s">
        <v>67</v>
      </c>
      <c r="K128" s="16" t="s">
        <v>68</v>
      </c>
      <c r="L128" s="15">
        <v>-6120</v>
      </c>
      <c r="M128" s="15">
        <v>0</v>
      </c>
      <c r="N128" s="15">
        <v>0</v>
      </c>
      <c r="O128" s="15">
        <v>-6120</v>
      </c>
      <c r="P128" s="15">
        <v>-6120</v>
      </c>
      <c r="Q128" s="15">
        <f t="shared" si="5"/>
        <v>-6120</v>
      </c>
      <c r="R128" s="36">
        <v>0</v>
      </c>
      <c r="S128" s="15">
        <f t="shared" si="6"/>
        <v>-6120</v>
      </c>
      <c r="T128" s="16"/>
      <c r="U128" s="26"/>
    </row>
    <row r="129" spans="1:21" x14ac:dyDescent="0.25">
      <c r="A129" s="16" t="s">
        <v>37</v>
      </c>
      <c r="B129" s="16" t="s">
        <v>269</v>
      </c>
      <c r="C129" s="16" t="s">
        <v>270</v>
      </c>
      <c r="D129" s="16" t="s">
        <v>100</v>
      </c>
      <c r="E129" s="16" t="s">
        <v>101</v>
      </c>
      <c r="F129" s="16" t="s">
        <v>128</v>
      </c>
      <c r="G129" s="16" t="s">
        <v>129</v>
      </c>
      <c r="H129" s="16" t="s">
        <v>85</v>
      </c>
      <c r="I129" s="16" t="s">
        <v>40</v>
      </c>
      <c r="J129" s="16" t="s">
        <v>69</v>
      </c>
      <c r="K129" s="16" t="s">
        <v>70</v>
      </c>
      <c r="L129" s="15">
        <v>-808.83988496369807</v>
      </c>
      <c r="M129" s="15">
        <v>-808.83988496369807</v>
      </c>
      <c r="N129" s="15">
        <v>-808.849998564722</v>
      </c>
      <c r="O129" s="15">
        <v>1.0113601023761021E-2</v>
      </c>
      <c r="P129" s="15">
        <v>0</v>
      </c>
      <c r="Q129" s="15">
        <f t="shared" si="5"/>
        <v>0</v>
      </c>
      <c r="R129" s="36">
        <v>0</v>
      </c>
      <c r="S129" s="15">
        <f t="shared" si="6"/>
        <v>0</v>
      </c>
      <c r="T129" s="16"/>
      <c r="U129" s="15">
        <f>O129</f>
        <v>1.0113601023761021E-2</v>
      </c>
    </row>
    <row r="130" spans="1:21" x14ac:dyDescent="0.25">
      <c r="A130" s="16" t="s">
        <v>37</v>
      </c>
      <c r="B130" s="16" t="s">
        <v>261</v>
      </c>
      <c r="C130" s="16" t="s">
        <v>262</v>
      </c>
      <c r="D130" s="16" t="s">
        <v>100</v>
      </c>
      <c r="E130" s="16" t="s">
        <v>101</v>
      </c>
      <c r="F130" s="16" t="s">
        <v>128</v>
      </c>
      <c r="G130" s="16" t="s">
        <v>129</v>
      </c>
      <c r="H130" s="16" t="s">
        <v>85</v>
      </c>
      <c r="I130" s="16" t="s">
        <v>40</v>
      </c>
      <c r="J130" s="16" t="s">
        <v>69</v>
      </c>
      <c r="K130" s="16" t="s">
        <v>70</v>
      </c>
      <c r="L130" s="15">
        <v>-537.86999988499997</v>
      </c>
      <c r="M130" s="15">
        <v>-537.87</v>
      </c>
      <c r="N130" s="15">
        <v>-505.1268</v>
      </c>
      <c r="O130" s="15">
        <v>-32.743199885000024</v>
      </c>
      <c r="P130" s="15">
        <v>0</v>
      </c>
      <c r="Q130" s="15">
        <f t="shared" si="5"/>
        <v>0</v>
      </c>
      <c r="R130" s="36">
        <v>0</v>
      </c>
      <c r="S130" s="15">
        <f t="shared" si="6"/>
        <v>0</v>
      </c>
      <c r="T130" s="16"/>
      <c r="U130" s="15">
        <f t="shared" ref="U130:U131" si="7">O130</f>
        <v>-32.743199885000024</v>
      </c>
    </row>
    <row r="131" spans="1:21" x14ac:dyDescent="0.25">
      <c r="A131" s="16" t="s">
        <v>37</v>
      </c>
      <c r="B131" s="16" t="s">
        <v>257</v>
      </c>
      <c r="C131" s="16" t="s">
        <v>258</v>
      </c>
      <c r="D131" s="16" t="s">
        <v>100</v>
      </c>
      <c r="E131" s="16" t="s">
        <v>101</v>
      </c>
      <c r="F131" s="16" t="s">
        <v>128</v>
      </c>
      <c r="G131" s="16" t="s">
        <v>129</v>
      </c>
      <c r="H131" s="16" t="s">
        <v>85</v>
      </c>
      <c r="I131" s="16" t="s">
        <v>40</v>
      </c>
      <c r="J131" s="16" t="s">
        <v>69</v>
      </c>
      <c r="K131" s="16" t="s">
        <v>70</v>
      </c>
      <c r="L131" s="15">
        <v>-4082.2478340000002</v>
      </c>
      <c r="M131" s="15">
        <v>-4082.2478340000002</v>
      </c>
      <c r="N131" s="15">
        <v>-4030.5831589800014</v>
      </c>
      <c r="O131" s="15">
        <v>-51.664675019998867</v>
      </c>
      <c r="P131" s="15">
        <v>0</v>
      </c>
      <c r="Q131" s="15">
        <f t="shared" si="5"/>
        <v>0</v>
      </c>
      <c r="R131" s="36">
        <v>0</v>
      </c>
      <c r="S131" s="15">
        <f t="shared" si="6"/>
        <v>0</v>
      </c>
      <c r="T131" s="16"/>
      <c r="U131" s="15">
        <f t="shared" si="7"/>
        <v>-51.664675019998867</v>
      </c>
    </row>
    <row r="132" spans="1:21" x14ac:dyDescent="0.25">
      <c r="A132" s="16" t="s">
        <v>37</v>
      </c>
      <c r="B132" s="16" t="s">
        <v>257</v>
      </c>
      <c r="C132" s="16" t="s">
        <v>258</v>
      </c>
      <c r="D132" s="16" t="s">
        <v>100</v>
      </c>
      <c r="E132" s="16" t="s">
        <v>101</v>
      </c>
      <c r="F132" s="16" t="s">
        <v>128</v>
      </c>
      <c r="G132" s="16" t="s">
        <v>129</v>
      </c>
      <c r="H132" s="16" t="s">
        <v>85</v>
      </c>
      <c r="I132" s="16" t="s">
        <v>40</v>
      </c>
      <c r="J132" s="16" t="s">
        <v>134</v>
      </c>
      <c r="K132" s="16" t="s">
        <v>135</v>
      </c>
      <c r="L132" s="15">
        <v>-181817</v>
      </c>
      <c r="M132" s="15">
        <v>0</v>
      </c>
      <c r="N132" s="15">
        <v>0</v>
      </c>
      <c r="O132" s="15">
        <v>-181817</v>
      </c>
      <c r="P132" s="15">
        <v>-181817</v>
      </c>
      <c r="Q132" s="15">
        <f t="shared" si="5"/>
        <v>-181817</v>
      </c>
      <c r="R132" s="36">
        <v>0</v>
      </c>
      <c r="S132" s="15">
        <f t="shared" si="6"/>
        <v>-181817</v>
      </c>
      <c r="T132" s="16"/>
      <c r="U132" s="26"/>
    </row>
    <row r="133" spans="1:21" x14ac:dyDescent="0.25">
      <c r="A133" s="16" t="s">
        <v>37</v>
      </c>
      <c r="B133" s="16" t="s">
        <v>257</v>
      </c>
      <c r="C133" s="16" t="s">
        <v>258</v>
      </c>
      <c r="D133" s="16" t="s">
        <v>100</v>
      </c>
      <c r="E133" s="16" t="s">
        <v>101</v>
      </c>
      <c r="F133" s="16" t="s">
        <v>128</v>
      </c>
      <c r="G133" s="16" t="s">
        <v>129</v>
      </c>
      <c r="H133" s="16" t="s">
        <v>85</v>
      </c>
      <c r="I133" s="16" t="s">
        <v>40</v>
      </c>
      <c r="J133" s="16" t="s">
        <v>136</v>
      </c>
      <c r="K133" s="16" t="s">
        <v>137</v>
      </c>
      <c r="L133" s="15">
        <v>-41021.800000000025</v>
      </c>
      <c r="M133" s="15">
        <v>0</v>
      </c>
      <c r="N133" s="15">
        <v>-41021.799999999996</v>
      </c>
      <c r="O133" s="15">
        <v>-3.5498715078574605E-11</v>
      </c>
      <c r="P133" s="15">
        <v>-3.5498715078574605E-11</v>
      </c>
      <c r="Q133" s="15">
        <f t="shared" si="5"/>
        <v>-3.5498715078574605E-11</v>
      </c>
      <c r="R133" s="36">
        <v>0</v>
      </c>
      <c r="S133" s="15">
        <f t="shared" si="6"/>
        <v>-3.5498715078574605E-11</v>
      </c>
      <c r="T133" s="16"/>
      <c r="U133" s="26"/>
    </row>
    <row r="134" spans="1:21" x14ac:dyDescent="0.25">
      <c r="A134" s="16" t="s">
        <v>37</v>
      </c>
      <c r="B134" s="16" t="s">
        <v>265</v>
      </c>
      <c r="C134" s="16" t="s">
        <v>266</v>
      </c>
      <c r="D134" s="16" t="s">
        <v>100</v>
      </c>
      <c r="E134" s="16" t="s">
        <v>101</v>
      </c>
      <c r="F134" s="16" t="s">
        <v>128</v>
      </c>
      <c r="G134" s="16" t="s">
        <v>129</v>
      </c>
      <c r="H134" s="16" t="s">
        <v>85</v>
      </c>
      <c r="I134" s="16" t="s">
        <v>40</v>
      </c>
      <c r="J134" s="16" t="s">
        <v>138</v>
      </c>
      <c r="K134" s="16" t="s">
        <v>139</v>
      </c>
      <c r="L134" s="15">
        <v>-126.09095930767819</v>
      </c>
      <c r="M134" s="15">
        <v>0</v>
      </c>
      <c r="N134" s="15">
        <v>-126.09095930767818</v>
      </c>
      <c r="O134" s="15">
        <v>0</v>
      </c>
      <c r="P134" s="15">
        <v>0</v>
      </c>
      <c r="Q134" s="15">
        <f t="shared" si="5"/>
        <v>0</v>
      </c>
      <c r="R134" s="36">
        <v>0</v>
      </c>
      <c r="S134" s="15">
        <f t="shared" si="6"/>
        <v>0</v>
      </c>
      <c r="T134" s="16"/>
      <c r="U134" s="16"/>
    </row>
    <row r="135" spans="1:21" x14ac:dyDescent="0.25">
      <c r="A135" s="16" t="s">
        <v>37</v>
      </c>
      <c r="B135" s="16" t="s">
        <v>257</v>
      </c>
      <c r="C135" s="16" t="s">
        <v>258</v>
      </c>
      <c r="D135" s="16" t="s">
        <v>100</v>
      </c>
      <c r="E135" s="16" t="s">
        <v>101</v>
      </c>
      <c r="F135" s="16" t="s">
        <v>140</v>
      </c>
      <c r="G135" s="16" t="s">
        <v>141</v>
      </c>
      <c r="H135" s="16" t="s">
        <v>85</v>
      </c>
      <c r="I135" s="16" t="s">
        <v>40</v>
      </c>
      <c r="J135" s="16" t="s">
        <v>38</v>
      </c>
      <c r="K135" s="16" t="s">
        <v>293</v>
      </c>
      <c r="L135" s="15">
        <v>-4028735.1884522722</v>
      </c>
      <c r="M135" s="15">
        <v>-186230.57480532181</v>
      </c>
      <c r="N135" s="15">
        <v>-2592101.0238006269</v>
      </c>
      <c r="O135" s="15">
        <v>-1436634.1646516456</v>
      </c>
      <c r="P135" s="15">
        <v>-1436634.1646516456</v>
      </c>
      <c r="Q135" s="15">
        <f>P135-R135+P136+639550.59-4167.29-21587.8+0.36</f>
        <v>-782741.66248638253</v>
      </c>
      <c r="R135" s="36">
        <v>0</v>
      </c>
      <c r="S135" s="15">
        <f t="shared" si="6"/>
        <v>-782741.66248638253</v>
      </c>
      <c r="T135" s="16"/>
      <c r="U135" s="26"/>
    </row>
    <row r="136" spans="1:21" x14ac:dyDescent="0.25">
      <c r="A136" s="16" t="s">
        <v>37</v>
      </c>
      <c r="B136" s="16" t="s">
        <v>269</v>
      </c>
      <c r="C136" s="16" t="s">
        <v>270</v>
      </c>
      <c r="D136" s="16" t="s">
        <v>100</v>
      </c>
      <c r="E136" s="16" t="s">
        <v>101</v>
      </c>
      <c r="F136" s="16" t="s">
        <v>140</v>
      </c>
      <c r="G136" s="16" t="s">
        <v>141</v>
      </c>
      <c r="H136" s="16" t="s">
        <v>85</v>
      </c>
      <c r="I136" s="16" t="s">
        <v>40</v>
      </c>
      <c r="J136" s="16" t="s">
        <v>38</v>
      </c>
      <c r="K136" s="16" t="s">
        <v>293</v>
      </c>
      <c r="L136" s="15">
        <v>-148577.61442437855</v>
      </c>
      <c r="M136" s="15">
        <v>-11210.88484715395</v>
      </c>
      <c r="N136" s="15">
        <v>-188674.25658964174</v>
      </c>
      <c r="O136" s="15">
        <v>40096.642165263169</v>
      </c>
      <c r="P136" s="15">
        <f>O136</f>
        <v>40096.642165263169</v>
      </c>
      <c r="Q136" s="15">
        <f>P136-R136-40097</f>
        <v>-0.35783473683113698</v>
      </c>
      <c r="R136" s="36">
        <v>0</v>
      </c>
      <c r="S136" s="15">
        <f t="shared" si="6"/>
        <v>-0.35783473683113698</v>
      </c>
      <c r="T136" s="16"/>
      <c r="U136" s="16"/>
    </row>
    <row r="137" spans="1:21" x14ac:dyDescent="0.25">
      <c r="A137" s="16" t="s">
        <v>37</v>
      </c>
      <c r="B137" s="16" t="s">
        <v>265</v>
      </c>
      <c r="C137" s="16" t="s">
        <v>266</v>
      </c>
      <c r="D137" s="16" t="s">
        <v>100</v>
      </c>
      <c r="E137" s="16" t="s">
        <v>101</v>
      </c>
      <c r="F137" s="16" t="s">
        <v>140</v>
      </c>
      <c r="G137" s="16" t="s">
        <v>141</v>
      </c>
      <c r="H137" s="16" t="s">
        <v>85</v>
      </c>
      <c r="I137" s="16" t="s">
        <v>40</v>
      </c>
      <c r="J137" s="16" t="s">
        <v>38</v>
      </c>
      <c r="K137" s="16" t="s">
        <v>293</v>
      </c>
      <c r="L137" s="15">
        <v>-794489.11343847611</v>
      </c>
      <c r="M137" s="15">
        <v>-31294.390648460532</v>
      </c>
      <c r="N137" s="15">
        <v>-740880.39849657589</v>
      </c>
      <c r="O137" s="15">
        <v>-53608.714941900311</v>
      </c>
      <c r="P137" s="15">
        <v>-53608.714941900311</v>
      </c>
      <c r="Q137" s="15">
        <f t="shared" si="5"/>
        <v>-53608.714941900311</v>
      </c>
      <c r="R137" s="36">
        <v>0</v>
      </c>
      <c r="S137" s="15">
        <f t="shared" si="6"/>
        <v>-53608.714941900311</v>
      </c>
      <c r="T137" s="16"/>
      <c r="U137" s="16"/>
    </row>
    <row r="138" spans="1:21" x14ac:dyDescent="0.25">
      <c r="A138" s="16" t="s">
        <v>37</v>
      </c>
      <c r="B138" s="16" t="s">
        <v>261</v>
      </c>
      <c r="C138" s="16" t="s">
        <v>262</v>
      </c>
      <c r="D138" s="16" t="s">
        <v>100</v>
      </c>
      <c r="E138" s="16" t="s">
        <v>101</v>
      </c>
      <c r="F138" s="16" t="s">
        <v>140</v>
      </c>
      <c r="G138" s="16" t="s">
        <v>141</v>
      </c>
      <c r="H138" s="16" t="s">
        <v>85</v>
      </c>
      <c r="I138" s="16" t="s">
        <v>40</v>
      </c>
      <c r="J138" s="16" t="s">
        <v>38</v>
      </c>
      <c r="K138" s="16" t="s">
        <v>293</v>
      </c>
      <c r="L138" s="15">
        <v>-274302.09735623305</v>
      </c>
      <c r="M138" s="15">
        <v>-61.659999999999989</v>
      </c>
      <c r="N138" s="15">
        <v>-259837.67774748703</v>
      </c>
      <c r="O138" s="15">
        <v>-14464.419608746051</v>
      </c>
      <c r="P138" s="15">
        <v>-14464.419608746051</v>
      </c>
      <c r="Q138" s="15">
        <f t="shared" si="5"/>
        <v>-14464.419608746051</v>
      </c>
      <c r="R138" s="36">
        <v>0</v>
      </c>
      <c r="S138" s="15">
        <f t="shared" si="6"/>
        <v>-14464.419608746051</v>
      </c>
      <c r="T138" s="16"/>
      <c r="U138" s="16"/>
    </row>
    <row r="139" spans="1:21" x14ac:dyDescent="0.25">
      <c r="A139" s="16" t="s">
        <v>37</v>
      </c>
      <c r="B139" s="16" t="s">
        <v>257</v>
      </c>
      <c r="C139" s="16" t="s">
        <v>258</v>
      </c>
      <c r="D139" s="16" t="s">
        <v>100</v>
      </c>
      <c r="E139" s="16" t="s">
        <v>101</v>
      </c>
      <c r="F139" s="16" t="s">
        <v>140</v>
      </c>
      <c r="G139" s="16" t="s">
        <v>141</v>
      </c>
      <c r="H139" s="16" t="s">
        <v>85</v>
      </c>
      <c r="I139" s="16" t="s">
        <v>40</v>
      </c>
      <c r="J139" s="16" t="s">
        <v>285</v>
      </c>
      <c r="K139" s="16" t="s">
        <v>286</v>
      </c>
      <c r="L139" s="15">
        <v>-397110.5</v>
      </c>
      <c r="M139" s="15">
        <v>-397110.5</v>
      </c>
      <c r="N139" s="15">
        <v>-285454.62</v>
      </c>
      <c r="O139" s="15">
        <v>-111655.88000000003</v>
      </c>
      <c r="P139" s="15">
        <f>O139</f>
        <v>-111655.88000000003</v>
      </c>
      <c r="Q139" s="15">
        <f t="shared" si="5"/>
        <v>-111655.88000000003</v>
      </c>
      <c r="R139" s="36">
        <f>-124875.97+124875.97</f>
        <v>0</v>
      </c>
      <c r="S139" s="15">
        <f t="shared" si="6"/>
        <v>-111655.88000000003</v>
      </c>
      <c r="T139" s="16"/>
      <c r="U139" s="26"/>
    </row>
    <row r="140" spans="1:21" x14ac:dyDescent="0.25">
      <c r="A140" s="16" t="s">
        <v>37</v>
      </c>
      <c r="B140" s="16" t="s">
        <v>257</v>
      </c>
      <c r="C140" s="16" t="s">
        <v>258</v>
      </c>
      <c r="D140" s="16" t="s">
        <v>100</v>
      </c>
      <c r="E140" s="16" t="s">
        <v>101</v>
      </c>
      <c r="F140" s="16" t="s">
        <v>140</v>
      </c>
      <c r="G140" s="16" t="s">
        <v>141</v>
      </c>
      <c r="H140" s="16" t="s">
        <v>85</v>
      </c>
      <c r="I140" s="16" t="s">
        <v>40</v>
      </c>
      <c r="J140" s="16" t="s">
        <v>142</v>
      </c>
      <c r="K140" s="16" t="s">
        <v>143</v>
      </c>
      <c r="L140" s="15">
        <v>-6466.4320000000007</v>
      </c>
      <c r="M140" s="15">
        <v>0</v>
      </c>
      <c r="N140" s="15">
        <v>0</v>
      </c>
      <c r="O140" s="15">
        <v>-6466.4320000000007</v>
      </c>
      <c r="P140" s="15">
        <v>-6466.4320000000007</v>
      </c>
      <c r="Q140" s="15">
        <f t="shared" si="5"/>
        <v>-6466.4320000000007</v>
      </c>
      <c r="R140" s="36">
        <v>0</v>
      </c>
      <c r="S140" s="15">
        <f t="shared" si="6"/>
        <v>-6466.4320000000007</v>
      </c>
      <c r="T140" s="16"/>
      <c r="U140" s="26"/>
    </row>
    <row r="141" spans="1:21" x14ac:dyDescent="0.25">
      <c r="A141" s="16" t="s">
        <v>37</v>
      </c>
      <c r="B141" s="16" t="s">
        <v>269</v>
      </c>
      <c r="C141" s="16" t="s">
        <v>270</v>
      </c>
      <c r="D141" s="16" t="s">
        <v>100</v>
      </c>
      <c r="E141" s="16" t="s">
        <v>101</v>
      </c>
      <c r="F141" s="16" t="s">
        <v>140</v>
      </c>
      <c r="G141" s="16" t="s">
        <v>141</v>
      </c>
      <c r="H141" s="16" t="s">
        <v>85</v>
      </c>
      <c r="I141" s="16" t="s">
        <v>40</v>
      </c>
      <c r="J141" s="16" t="s">
        <v>130</v>
      </c>
      <c r="K141" s="16" t="s">
        <v>131</v>
      </c>
      <c r="L141" s="15">
        <v>-6657.7100000229866</v>
      </c>
      <c r="M141" s="15">
        <v>-6657.7100000229866</v>
      </c>
      <c r="N141" s="15">
        <v>0</v>
      </c>
      <c r="O141" s="15">
        <v>-6657.7100000229866</v>
      </c>
      <c r="P141" s="15">
        <v>-6657.7100000229866</v>
      </c>
      <c r="Q141" s="15">
        <f t="shared" si="5"/>
        <v>-6657.7100000229866</v>
      </c>
      <c r="R141" s="36">
        <v>0</v>
      </c>
      <c r="S141" s="15">
        <f t="shared" si="6"/>
        <v>-6657.7100000229866</v>
      </c>
      <c r="T141" s="16"/>
      <c r="U141" s="16"/>
    </row>
    <row r="142" spans="1:21" x14ac:dyDescent="0.25">
      <c r="A142" s="16" t="s">
        <v>37</v>
      </c>
      <c r="B142" s="16" t="s">
        <v>257</v>
      </c>
      <c r="C142" s="16" t="s">
        <v>258</v>
      </c>
      <c r="D142" s="16" t="s">
        <v>100</v>
      </c>
      <c r="E142" s="16" t="s">
        <v>101</v>
      </c>
      <c r="F142" s="16" t="s">
        <v>140</v>
      </c>
      <c r="G142" s="16" t="s">
        <v>141</v>
      </c>
      <c r="H142" s="16" t="s">
        <v>85</v>
      </c>
      <c r="I142" s="16" t="s">
        <v>40</v>
      </c>
      <c r="J142" s="16" t="s">
        <v>296</v>
      </c>
      <c r="K142" s="16" t="s">
        <v>297</v>
      </c>
      <c r="L142" s="15">
        <v>-6254.9849989086997</v>
      </c>
      <c r="M142" s="15">
        <v>-25.75603255</v>
      </c>
      <c r="N142" s="15">
        <v>-6051.5421159999996</v>
      </c>
      <c r="O142" s="15">
        <v>-203.44288290870054</v>
      </c>
      <c r="P142" s="15">
        <v>-203.44288290870054</v>
      </c>
      <c r="Q142" s="15">
        <f>P142-R142-143.65</f>
        <v>-347.09288290870052</v>
      </c>
      <c r="R142" s="36">
        <v>0</v>
      </c>
      <c r="S142" s="15">
        <f t="shared" si="6"/>
        <v>-347.09288290870052</v>
      </c>
      <c r="T142" s="16"/>
      <c r="U142" s="26"/>
    </row>
    <row r="143" spans="1:21" x14ac:dyDescent="0.25">
      <c r="A143" s="16" t="s">
        <v>37</v>
      </c>
      <c r="B143" s="16" t="s">
        <v>257</v>
      </c>
      <c r="C143" s="16" t="s">
        <v>258</v>
      </c>
      <c r="D143" s="16" t="s">
        <v>100</v>
      </c>
      <c r="E143" s="16" t="s">
        <v>101</v>
      </c>
      <c r="F143" s="16" t="s">
        <v>140</v>
      </c>
      <c r="G143" s="16" t="s">
        <v>141</v>
      </c>
      <c r="H143" s="16" t="s">
        <v>85</v>
      </c>
      <c r="I143" s="16" t="s">
        <v>40</v>
      </c>
      <c r="J143" s="16" t="s">
        <v>124</v>
      </c>
      <c r="K143" s="16" t="s">
        <v>125</v>
      </c>
      <c r="L143" s="15">
        <v>-149.5539</v>
      </c>
      <c r="M143" s="15">
        <v>0</v>
      </c>
      <c r="N143" s="15">
        <v>-113.156622</v>
      </c>
      <c r="O143" s="15">
        <v>-36.397277999999993</v>
      </c>
      <c r="P143" s="15">
        <v>0</v>
      </c>
      <c r="Q143" s="15">
        <f t="shared" ref="Q143:Q206" si="8">P143-R143</f>
        <v>0</v>
      </c>
      <c r="R143" s="36">
        <v>0</v>
      </c>
      <c r="S143" s="15">
        <f t="shared" ref="S143:S206" si="9">SUM(Q143:R143)</f>
        <v>0</v>
      </c>
      <c r="T143" s="16"/>
      <c r="U143" s="26"/>
    </row>
    <row r="144" spans="1:21" x14ac:dyDescent="0.25">
      <c r="A144" s="16" t="s">
        <v>37</v>
      </c>
      <c r="B144" s="16" t="s">
        <v>269</v>
      </c>
      <c r="C144" s="16" t="s">
        <v>270</v>
      </c>
      <c r="D144" s="16" t="s">
        <v>100</v>
      </c>
      <c r="E144" s="16" t="s">
        <v>101</v>
      </c>
      <c r="F144" s="16" t="s">
        <v>140</v>
      </c>
      <c r="G144" s="16" t="s">
        <v>141</v>
      </c>
      <c r="H144" s="16" t="s">
        <v>85</v>
      </c>
      <c r="I144" s="16" t="s">
        <v>40</v>
      </c>
      <c r="J144" s="16" t="s">
        <v>124</v>
      </c>
      <c r="K144" s="16" t="s">
        <v>125</v>
      </c>
      <c r="L144" s="15">
        <v>-671.56965108373811</v>
      </c>
      <c r="M144" s="15">
        <v>0</v>
      </c>
      <c r="N144" s="15">
        <v>-543.80999999999972</v>
      </c>
      <c r="O144" s="15">
        <v>-127.75965108373855</v>
      </c>
      <c r="P144" s="15">
        <v>0</v>
      </c>
      <c r="Q144" s="15">
        <f t="shared" si="8"/>
        <v>0</v>
      </c>
      <c r="R144" s="36">
        <v>0</v>
      </c>
      <c r="S144" s="15">
        <f t="shared" si="9"/>
        <v>0</v>
      </c>
      <c r="T144" s="16"/>
      <c r="U144" s="16"/>
    </row>
    <row r="145" spans="1:21" x14ac:dyDescent="0.25">
      <c r="A145" s="16" t="s">
        <v>37</v>
      </c>
      <c r="B145" s="16" t="s">
        <v>265</v>
      </c>
      <c r="C145" s="16" t="s">
        <v>266</v>
      </c>
      <c r="D145" s="16" t="s">
        <v>100</v>
      </c>
      <c r="E145" s="16" t="s">
        <v>101</v>
      </c>
      <c r="F145" s="16" t="s">
        <v>140</v>
      </c>
      <c r="G145" s="16" t="s">
        <v>141</v>
      </c>
      <c r="H145" s="16" t="s">
        <v>85</v>
      </c>
      <c r="I145" s="16" t="s">
        <v>40</v>
      </c>
      <c r="J145" s="16" t="s">
        <v>124</v>
      </c>
      <c r="K145" s="16" t="s">
        <v>125</v>
      </c>
      <c r="L145" s="15">
        <v>-51281.88845654724</v>
      </c>
      <c r="M145" s="15">
        <v>0</v>
      </c>
      <c r="N145" s="15">
        <v>-49764.879836642795</v>
      </c>
      <c r="O145" s="15">
        <v>-1517.0086199044713</v>
      </c>
      <c r="P145" s="15">
        <v>0</v>
      </c>
      <c r="Q145" s="15">
        <f t="shared" si="8"/>
        <v>0</v>
      </c>
      <c r="R145" s="36">
        <v>0</v>
      </c>
      <c r="S145" s="15">
        <f t="shared" si="9"/>
        <v>0</v>
      </c>
      <c r="T145" s="16"/>
      <c r="U145" s="16"/>
    </row>
    <row r="146" spans="1:21" x14ac:dyDescent="0.25">
      <c r="A146" s="16" t="s">
        <v>37</v>
      </c>
      <c r="B146" s="16" t="s">
        <v>261</v>
      </c>
      <c r="C146" s="16" t="s">
        <v>262</v>
      </c>
      <c r="D146" s="16" t="s">
        <v>100</v>
      </c>
      <c r="E146" s="16" t="s">
        <v>101</v>
      </c>
      <c r="F146" s="16" t="s">
        <v>140</v>
      </c>
      <c r="G146" s="16" t="s">
        <v>141</v>
      </c>
      <c r="H146" s="16" t="s">
        <v>85</v>
      </c>
      <c r="I146" s="16" t="s">
        <v>40</v>
      </c>
      <c r="J146" s="16" t="s">
        <v>124</v>
      </c>
      <c r="K146" s="16" t="s">
        <v>125</v>
      </c>
      <c r="L146" s="15">
        <v>-17062.097532159998</v>
      </c>
      <c r="M146" s="15">
        <v>0</v>
      </c>
      <c r="N146" s="15">
        <v>-17059.679897909598</v>
      </c>
      <c r="O146" s="15">
        <v>-2.417634250401079</v>
      </c>
      <c r="P146" s="15">
        <v>0</v>
      </c>
      <c r="Q146" s="15">
        <f t="shared" si="8"/>
        <v>0</v>
      </c>
      <c r="R146" s="36">
        <v>0</v>
      </c>
      <c r="S146" s="15">
        <f t="shared" si="9"/>
        <v>0</v>
      </c>
      <c r="T146" s="16"/>
      <c r="U146" s="16"/>
    </row>
    <row r="147" spans="1:21" x14ac:dyDescent="0.25">
      <c r="A147" s="16" t="s">
        <v>37</v>
      </c>
      <c r="B147" s="16" t="s">
        <v>257</v>
      </c>
      <c r="C147" s="16" t="s">
        <v>258</v>
      </c>
      <c r="D147" s="16" t="s">
        <v>100</v>
      </c>
      <c r="E147" s="16" t="s">
        <v>101</v>
      </c>
      <c r="F147" s="16" t="s">
        <v>140</v>
      </c>
      <c r="G147" s="16" t="s">
        <v>141</v>
      </c>
      <c r="H147" s="16" t="s">
        <v>85</v>
      </c>
      <c r="I147" s="16" t="s">
        <v>40</v>
      </c>
      <c r="J147" s="16" t="s">
        <v>298</v>
      </c>
      <c r="K147" s="16" t="s">
        <v>299</v>
      </c>
      <c r="L147" s="15">
        <v>-3006.4364575400004</v>
      </c>
      <c r="M147" s="15">
        <v>-122.97766500000003</v>
      </c>
      <c r="N147" s="15">
        <v>-1908.9943772926001</v>
      </c>
      <c r="O147" s="15">
        <v>-1097.4420802473999</v>
      </c>
      <c r="P147" s="15">
        <v>-1097.4420802473999</v>
      </c>
      <c r="Q147" s="15">
        <f>P147-R147-63888.23</f>
        <v>-64985.672080247401</v>
      </c>
      <c r="R147" s="36">
        <v>0</v>
      </c>
      <c r="S147" s="15">
        <f t="shared" si="9"/>
        <v>-64985.672080247401</v>
      </c>
      <c r="T147" s="16"/>
      <c r="U147" s="26"/>
    </row>
    <row r="148" spans="1:21" x14ac:dyDescent="0.25">
      <c r="A148" s="16" t="s">
        <v>37</v>
      </c>
      <c r="B148" s="16" t="s">
        <v>269</v>
      </c>
      <c r="C148" s="16" t="s">
        <v>270</v>
      </c>
      <c r="D148" s="16" t="s">
        <v>100</v>
      </c>
      <c r="E148" s="16" t="s">
        <v>101</v>
      </c>
      <c r="F148" s="16" t="s">
        <v>140</v>
      </c>
      <c r="G148" s="16" t="s">
        <v>141</v>
      </c>
      <c r="H148" s="16" t="s">
        <v>85</v>
      </c>
      <c r="I148" s="16" t="s">
        <v>40</v>
      </c>
      <c r="J148" s="16" t="s">
        <v>132</v>
      </c>
      <c r="K148" s="16" t="s">
        <v>133</v>
      </c>
      <c r="L148" s="15">
        <v>-21710.466498866328</v>
      </c>
      <c r="M148" s="15">
        <v>-21710.466788866328</v>
      </c>
      <c r="N148" s="15">
        <v>-21710.459996040576</v>
      </c>
      <c r="O148" s="15">
        <v>-6.502825747247698E-3</v>
      </c>
      <c r="P148" s="15">
        <v>0</v>
      </c>
      <c r="Q148" s="15">
        <f t="shared" si="8"/>
        <v>0</v>
      </c>
      <c r="R148" s="36">
        <v>0</v>
      </c>
      <c r="S148" s="15">
        <f t="shared" si="9"/>
        <v>0</v>
      </c>
      <c r="T148" s="16"/>
      <c r="U148" s="16"/>
    </row>
    <row r="149" spans="1:21" x14ac:dyDescent="0.25">
      <c r="A149" s="16" t="s">
        <v>37</v>
      </c>
      <c r="B149" s="16" t="s">
        <v>269</v>
      </c>
      <c r="C149" s="16" t="s">
        <v>270</v>
      </c>
      <c r="D149" s="16" t="s">
        <v>100</v>
      </c>
      <c r="E149" s="16" t="s">
        <v>101</v>
      </c>
      <c r="F149" s="16" t="s">
        <v>140</v>
      </c>
      <c r="G149" s="16" t="s">
        <v>141</v>
      </c>
      <c r="H149" s="16" t="s">
        <v>85</v>
      </c>
      <c r="I149" s="16" t="s">
        <v>40</v>
      </c>
      <c r="J149" s="16" t="s">
        <v>64</v>
      </c>
      <c r="K149" s="16" t="s">
        <v>65</v>
      </c>
      <c r="L149" s="15">
        <v>-43740.610264091134</v>
      </c>
      <c r="M149" s="15">
        <v>0</v>
      </c>
      <c r="N149" s="15">
        <v>-37801.619940099605</v>
      </c>
      <c r="O149" s="15">
        <v>-5938.9903239915402</v>
      </c>
      <c r="P149" s="15">
        <v>-5938.9903239915402</v>
      </c>
      <c r="Q149" s="15">
        <f t="shared" si="8"/>
        <v>-5938.9903239915402</v>
      </c>
      <c r="R149" s="36">
        <v>0</v>
      </c>
      <c r="S149" s="15">
        <f t="shared" si="9"/>
        <v>-5938.9903239915402</v>
      </c>
      <c r="T149" s="16"/>
      <c r="U149" s="16"/>
    </row>
    <row r="150" spans="1:21" x14ac:dyDescent="0.25">
      <c r="A150" s="16" t="s">
        <v>37</v>
      </c>
      <c r="B150" s="16" t="s">
        <v>269</v>
      </c>
      <c r="C150" s="16" t="s">
        <v>270</v>
      </c>
      <c r="D150" s="16" t="s">
        <v>100</v>
      </c>
      <c r="E150" s="16" t="s">
        <v>101</v>
      </c>
      <c r="F150" s="16" t="s">
        <v>140</v>
      </c>
      <c r="G150" s="16" t="s">
        <v>141</v>
      </c>
      <c r="H150" s="16" t="s">
        <v>85</v>
      </c>
      <c r="I150" s="16" t="s">
        <v>40</v>
      </c>
      <c r="J150" s="16" t="s">
        <v>66</v>
      </c>
      <c r="K150" s="16" t="s">
        <v>63</v>
      </c>
      <c r="L150" s="15">
        <v>-29040.272935998135</v>
      </c>
      <c r="M150" s="15">
        <v>-29040.274205998139</v>
      </c>
      <c r="N150" s="15">
        <v>-29040.279975376459</v>
      </c>
      <c r="O150" s="15">
        <v>7.0393783280451316E-3</v>
      </c>
      <c r="P150" s="15">
        <v>0</v>
      </c>
      <c r="Q150" s="15">
        <f t="shared" si="8"/>
        <v>0</v>
      </c>
      <c r="R150" s="36">
        <v>0</v>
      </c>
      <c r="S150" s="15">
        <f t="shared" si="9"/>
        <v>0</v>
      </c>
      <c r="T150" s="16"/>
      <c r="U150" s="16"/>
    </row>
    <row r="151" spans="1:21" x14ac:dyDescent="0.25">
      <c r="A151" s="16" t="s">
        <v>37</v>
      </c>
      <c r="B151" s="16" t="s">
        <v>257</v>
      </c>
      <c r="C151" s="16" t="s">
        <v>258</v>
      </c>
      <c r="D151" s="16" t="s">
        <v>100</v>
      </c>
      <c r="E151" s="16" t="s">
        <v>101</v>
      </c>
      <c r="F151" s="16" t="s">
        <v>140</v>
      </c>
      <c r="G151" s="16" t="s">
        <v>141</v>
      </c>
      <c r="H151" s="16" t="s">
        <v>85</v>
      </c>
      <c r="I151" s="16" t="s">
        <v>40</v>
      </c>
      <c r="J151" s="16" t="s">
        <v>67</v>
      </c>
      <c r="K151" s="16" t="s">
        <v>68</v>
      </c>
      <c r="L151" s="15">
        <v>-2000</v>
      </c>
      <c r="M151" s="15">
        <v>0</v>
      </c>
      <c r="N151" s="15">
        <v>0</v>
      </c>
      <c r="O151" s="15">
        <v>-2000</v>
      </c>
      <c r="P151" s="15">
        <v>-2000</v>
      </c>
      <c r="Q151" s="15">
        <f t="shared" si="8"/>
        <v>-2000</v>
      </c>
      <c r="R151" s="36">
        <v>0</v>
      </c>
      <c r="S151" s="15">
        <f t="shared" si="9"/>
        <v>-2000</v>
      </c>
      <c r="T151" s="16"/>
      <c r="U151" s="26"/>
    </row>
    <row r="152" spans="1:21" x14ac:dyDescent="0.25">
      <c r="A152" s="16" t="s">
        <v>37</v>
      </c>
      <c r="B152" s="16" t="s">
        <v>269</v>
      </c>
      <c r="C152" s="16" t="s">
        <v>270</v>
      </c>
      <c r="D152" s="16" t="s">
        <v>100</v>
      </c>
      <c r="E152" s="16" t="s">
        <v>101</v>
      </c>
      <c r="F152" s="16" t="s">
        <v>140</v>
      </c>
      <c r="G152" s="16" t="s">
        <v>141</v>
      </c>
      <c r="H152" s="16" t="s">
        <v>85</v>
      </c>
      <c r="I152" s="16" t="s">
        <v>40</v>
      </c>
      <c r="J152" s="16" t="s">
        <v>69</v>
      </c>
      <c r="K152" s="16" t="s">
        <v>70</v>
      </c>
      <c r="L152" s="15">
        <v>-666.04809808324433</v>
      </c>
      <c r="M152" s="15">
        <v>-666.04809808324433</v>
      </c>
      <c r="N152" s="15">
        <v>-666.04999881811591</v>
      </c>
      <c r="O152" s="15">
        <v>1.900734871632892E-3</v>
      </c>
      <c r="P152" s="15">
        <v>0</v>
      </c>
      <c r="Q152" s="15">
        <f t="shared" si="8"/>
        <v>0</v>
      </c>
      <c r="R152" s="36">
        <v>0</v>
      </c>
      <c r="S152" s="15">
        <f t="shared" si="9"/>
        <v>0</v>
      </c>
      <c r="T152" s="16"/>
      <c r="U152" s="15">
        <f t="shared" ref="U152:U154" si="10">O152</f>
        <v>1.900734871632892E-3</v>
      </c>
    </row>
    <row r="153" spans="1:21" x14ac:dyDescent="0.25">
      <c r="A153" s="16" t="s">
        <v>37</v>
      </c>
      <c r="B153" s="16" t="s">
        <v>261</v>
      </c>
      <c r="C153" s="16" t="s">
        <v>262</v>
      </c>
      <c r="D153" s="16" t="s">
        <v>100</v>
      </c>
      <c r="E153" s="16" t="s">
        <v>101</v>
      </c>
      <c r="F153" s="16" t="s">
        <v>140</v>
      </c>
      <c r="G153" s="16" t="s">
        <v>141</v>
      </c>
      <c r="H153" s="16" t="s">
        <v>85</v>
      </c>
      <c r="I153" s="16" t="s">
        <v>40</v>
      </c>
      <c r="J153" s="16" t="s">
        <v>69</v>
      </c>
      <c r="K153" s="16" t="s">
        <v>70</v>
      </c>
      <c r="L153" s="15">
        <v>-1796.009899616</v>
      </c>
      <c r="M153" s="15">
        <v>-1796.01</v>
      </c>
      <c r="N153" s="15">
        <v>-1510.7033000000001</v>
      </c>
      <c r="O153" s="15">
        <v>-285.30659961599986</v>
      </c>
      <c r="P153" s="15">
        <v>0</v>
      </c>
      <c r="Q153" s="15">
        <f t="shared" si="8"/>
        <v>0</v>
      </c>
      <c r="R153" s="36">
        <v>0</v>
      </c>
      <c r="S153" s="15">
        <f t="shared" si="9"/>
        <v>0</v>
      </c>
      <c r="T153" s="16"/>
      <c r="U153" s="15">
        <f t="shared" si="10"/>
        <v>-285.30659961599986</v>
      </c>
    </row>
    <row r="154" spans="1:21" x14ac:dyDescent="0.25">
      <c r="A154" s="16" t="s">
        <v>37</v>
      </c>
      <c r="B154" s="16" t="s">
        <v>257</v>
      </c>
      <c r="C154" s="16" t="s">
        <v>258</v>
      </c>
      <c r="D154" s="16" t="s">
        <v>100</v>
      </c>
      <c r="E154" s="16" t="s">
        <v>101</v>
      </c>
      <c r="F154" s="16" t="s">
        <v>140</v>
      </c>
      <c r="G154" s="16" t="s">
        <v>141</v>
      </c>
      <c r="H154" s="16" t="s">
        <v>85</v>
      </c>
      <c r="I154" s="16" t="s">
        <v>40</v>
      </c>
      <c r="J154" s="16" t="s">
        <v>69</v>
      </c>
      <c r="K154" s="16" t="s">
        <v>70</v>
      </c>
      <c r="L154" s="15">
        <v>-1332.5309750000001</v>
      </c>
      <c r="M154" s="15">
        <v>-1332.5309750000001</v>
      </c>
      <c r="N154" s="15">
        <v>-1315.6665457500001</v>
      </c>
      <c r="O154" s="15">
        <v>-16.864429249999773</v>
      </c>
      <c r="P154" s="15">
        <v>0</v>
      </c>
      <c r="Q154" s="15">
        <f t="shared" si="8"/>
        <v>0</v>
      </c>
      <c r="R154" s="36">
        <v>0</v>
      </c>
      <c r="S154" s="15">
        <f t="shared" si="9"/>
        <v>0</v>
      </c>
      <c r="T154" s="16"/>
      <c r="U154" s="15">
        <f t="shared" si="10"/>
        <v>-16.864429249999773</v>
      </c>
    </row>
    <row r="155" spans="1:21" x14ac:dyDescent="0.25">
      <c r="A155" s="16" t="s">
        <v>37</v>
      </c>
      <c r="B155" s="16" t="s">
        <v>257</v>
      </c>
      <c r="C155" s="16" t="s">
        <v>258</v>
      </c>
      <c r="D155" s="16" t="s">
        <v>100</v>
      </c>
      <c r="E155" s="16" t="s">
        <v>101</v>
      </c>
      <c r="F155" s="16" t="s">
        <v>140</v>
      </c>
      <c r="G155" s="16" t="s">
        <v>141</v>
      </c>
      <c r="H155" s="16" t="s">
        <v>85</v>
      </c>
      <c r="I155" s="16" t="s">
        <v>40</v>
      </c>
      <c r="J155" s="16" t="s">
        <v>136</v>
      </c>
      <c r="K155" s="16" t="s">
        <v>137</v>
      </c>
      <c r="L155" s="15">
        <v>-45318.900000000031</v>
      </c>
      <c r="M155" s="15">
        <v>0</v>
      </c>
      <c r="N155" s="15">
        <v>-45318.9</v>
      </c>
      <c r="O155" s="15">
        <v>-3.637978807091713E-11</v>
      </c>
      <c r="P155" s="15">
        <v>-3.637978807091713E-11</v>
      </c>
      <c r="Q155" s="15">
        <f t="shared" si="8"/>
        <v>-3.637978807091713E-11</v>
      </c>
      <c r="R155" s="36">
        <v>0</v>
      </c>
      <c r="S155" s="15">
        <f t="shared" si="9"/>
        <v>-3.637978807091713E-11</v>
      </c>
      <c r="T155" s="16"/>
      <c r="U155" s="26"/>
    </row>
    <row r="156" spans="1:21" x14ac:dyDescent="0.25">
      <c r="A156" s="16" t="s">
        <v>37</v>
      </c>
      <c r="B156" s="16" t="s">
        <v>265</v>
      </c>
      <c r="C156" s="16" t="s">
        <v>266</v>
      </c>
      <c r="D156" s="16" t="s">
        <v>100</v>
      </c>
      <c r="E156" s="16" t="s">
        <v>101</v>
      </c>
      <c r="F156" s="16" t="s">
        <v>140</v>
      </c>
      <c r="G156" s="16" t="s">
        <v>141</v>
      </c>
      <c r="H156" s="16" t="s">
        <v>85</v>
      </c>
      <c r="I156" s="16" t="s">
        <v>40</v>
      </c>
      <c r="J156" s="16" t="s">
        <v>138</v>
      </c>
      <c r="K156" s="16" t="s">
        <v>139</v>
      </c>
      <c r="L156" s="15">
        <v>-769.60517663150699</v>
      </c>
      <c r="M156" s="15">
        <v>0</v>
      </c>
      <c r="N156" s="15">
        <v>-769.60517663150699</v>
      </c>
      <c r="O156" s="15">
        <v>5.6843418860808015E-14</v>
      </c>
      <c r="P156" s="15">
        <v>0</v>
      </c>
      <c r="Q156" s="15">
        <f t="shared" si="8"/>
        <v>0</v>
      </c>
      <c r="R156" s="36">
        <v>0</v>
      </c>
      <c r="S156" s="15">
        <f t="shared" si="9"/>
        <v>0</v>
      </c>
      <c r="T156" s="16"/>
      <c r="U156" s="16"/>
    </row>
    <row r="157" spans="1:21" x14ac:dyDescent="0.25">
      <c r="A157" s="16" t="s">
        <v>37</v>
      </c>
      <c r="B157" s="16" t="s">
        <v>269</v>
      </c>
      <c r="C157" s="16" t="s">
        <v>270</v>
      </c>
      <c r="D157" s="16" t="s">
        <v>100</v>
      </c>
      <c r="E157" s="16" t="s">
        <v>101</v>
      </c>
      <c r="F157" s="16" t="s">
        <v>144</v>
      </c>
      <c r="G157" s="16" t="s">
        <v>145</v>
      </c>
      <c r="H157" s="16" t="s">
        <v>85</v>
      </c>
      <c r="I157" s="16" t="s">
        <v>40</v>
      </c>
      <c r="J157" s="16" t="s">
        <v>38</v>
      </c>
      <c r="K157" s="16" t="s">
        <v>293</v>
      </c>
      <c r="L157" s="15">
        <v>-87154.49408469288</v>
      </c>
      <c r="M157" s="15">
        <v>-1998.1587479164443</v>
      </c>
      <c r="N157" s="15">
        <v>-113576.83324229773</v>
      </c>
      <c r="O157" s="15">
        <v>26422.339157604845</v>
      </c>
      <c r="P157" s="15">
        <f>O157</f>
        <v>26422.339157604845</v>
      </c>
      <c r="Q157" s="15">
        <f>P157-R157-26422</f>
        <v>0.33915760484524071</v>
      </c>
      <c r="R157" s="36">
        <v>0</v>
      </c>
      <c r="S157" s="15">
        <f t="shared" si="9"/>
        <v>0.33915760484524071</v>
      </c>
      <c r="T157" s="16"/>
      <c r="U157" s="16"/>
    </row>
    <row r="158" spans="1:21" x14ac:dyDescent="0.25">
      <c r="A158" s="16" t="s">
        <v>37</v>
      </c>
      <c r="B158" s="16" t="s">
        <v>265</v>
      </c>
      <c r="C158" s="16" t="s">
        <v>266</v>
      </c>
      <c r="D158" s="16" t="s">
        <v>100</v>
      </c>
      <c r="E158" s="16" t="s">
        <v>101</v>
      </c>
      <c r="F158" s="16" t="s">
        <v>144</v>
      </c>
      <c r="G158" s="16" t="s">
        <v>145</v>
      </c>
      <c r="H158" s="16" t="s">
        <v>85</v>
      </c>
      <c r="I158" s="16" t="s">
        <v>40</v>
      </c>
      <c r="J158" s="16" t="s">
        <v>38</v>
      </c>
      <c r="K158" s="16" t="s">
        <v>293</v>
      </c>
      <c r="L158" s="15">
        <v>-658900.91662970942</v>
      </c>
      <c r="M158" s="15">
        <v>-9958.4202063514367</v>
      </c>
      <c r="N158" s="15">
        <v>-618516.97375804605</v>
      </c>
      <c r="O158" s="15">
        <v>-40383.942871663334</v>
      </c>
      <c r="P158" s="15">
        <v>-40383.942871663334</v>
      </c>
      <c r="Q158" s="15">
        <f t="shared" si="8"/>
        <v>-40383.942871663334</v>
      </c>
      <c r="R158" s="36">
        <v>0</v>
      </c>
      <c r="S158" s="15">
        <f t="shared" si="9"/>
        <v>-40383.942871663334</v>
      </c>
      <c r="T158" s="16"/>
      <c r="U158" s="16"/>
    </row>
    <row r="159" spans="1:21" x14ac:dyDescent="0.25">
      <c r="A159" s="16" t="s">
        <v>37</v>
      </c>
      <c r="B159" s="16" t="s">
        <v>257</v>
      </c>
      <c r="C159" s="16" t="s">
        <v>258</v>
      </c>
      <c r="D159" s="16" t="s">
        <v>100</v>
      </c>
      <c r="E159" s="16" t="s">
        <v>101</v>
      </c>
      <c r="F159" s="16" t="s">
        <v>144</v>
      </c>
      <c r="G159" s="16" t="s">
        <v>145</v>
      </c>
      <c r="H159" s="16" t="s">
        <v>85</v>
      </c>
      <c r="I159" s="16" t="s">
        <v>40</v>
      </c>
      <c r="J159" s="16" t="s">
        <v>38</v>
      </c>
      <c r="K159" s="16" t="s">
        <v>293</v>
      </c>
      <c r="L159" s="15">
        <v>-742159.80312467972</v>
      </c>
      <c r="M159" s="15">
        <v>-66682.434830080892</v>
      </c>
      <c r="N159" s="15">
        <v>-469297.26454015228</v>
      </c>
      <c r="O159" s="15">
        <v>-272862.53858452721</v>
      </c>
      <c r="P159" s="15">
        <v>-272862.53858452721</v>
      </c>
      <c r="Q159" s="15">
        <f>P159-R159+P157</f>
        <v>-246440.19942692237</v>
      </c>
      <c r="R159" s="36">
        <v>0</v>
      </c>
      <c r="S159" s="15">
        <f t="shared" si="9"/>
        <v>-246440.19942692237</v>
      </c>
      <c r="T159" s="16"/>
      <c r="U159" s="26"/>
    </row>
    <row r="160" spans="1:21" x14ac:dyDescent="0.25">
      <c r="A160" s="16" t="s">
        <v>37</v>
      </c>
      <c r="B160" s="16" t="s">
        <v>269</v>
      </c>
      <c r="C160" s="16" t="s">
        <v>270</v>
      </c>
      <c r="D160" s="16" t="s">
        <v>100</v>
      </c>
      <c r="E160" s="16" t="s">
        <v>101</v>
      </c>
      <c r="F160" s="16" t="s">
        <v>144</v>
      </c>
      <c r="G160" s="16" t="s">
        <v>145</v>
      </c>
      <c r="H160" s="16" t="s">
        <v>85</v>
      </c>
      <c r="I160" s="16" t="s">
        <v>40</v>
      </c>
      <c r="J160" s="16" t="s">
        <v>130</v>
      </c>
      <c r="K160" s="16" t="s">
        <v>131</v>
      </c>
      <c r="L160" s="15">
        <v>-4230.6400000146059</v>
      </c>
      <c r="M160" s="15">
        <v>-4230.6400000146059</v>
      </c>
      <c r="N160" s="15">
        <v>0</v>
      </c>
      <c r="O160" s="15">
        <v>-4230.6400000146059</v>
      </c>
      <c r="P160" s="15">
        <v>-4230.6400000146059</v>
      </c>
      <c r="Q160" s="15">
        <f t="shared" si="8"/>
        <v>-4230.6400000146059</v>
      </c>
      <c r="R160" s="36">
        <v>0</v>
      </c>
      <c r="S160" s="15">
        <f t="shared" si="9"/>
        <v>-4230.6400000146059</v>
      </c>
      <c r="T160" s="16"/>
      <c r="U160" s="16"/>
    </row>
    <row r="161" spans="1:21" x14ac:dyDescent="0.25">
      <c r="A161" s="16" t="s">
        <v>37</v>
      </c>
      <c r="B161" s="16" t="s">
        <v>257</v>
      </c>
      <c r="C161" s="16" t="s">
        <v>258</v>
      </c>
      <c r="D161" s="16" t="s">
        <v>100</v>
      </c>
      <c r="E161" s="16" t="s">
        <v>101</v>
      </c>
      <c r="F161" s="16" t="s">
        <v>144</v>
      </c>
      <c r="G161" s="16" t="s">
        <v>145</v>
      </c>
      <c r="H161" s="16" t="s">
        <v>85</v>
      </c>
      <c r="I161" s="16" t="s">
        <v>40</v>
      </c>
      <c r="J161" s="16" t="s">
        <v>296</v>
      </c>
      <c r="K161" s="16" t="s">
        <v>297</v>
      </c>
      <c r="L161" s="15">
        <v>-7644.8649896330026</v>
      </c>
      <c r="M161" s="15">
        <v>0</v>
      </c>
      <c r="N161" s="15">
        <v>-7644.4730439999994</v>
      </c>
      <c r="O161" s="15">
        <v>-0.39194563300316076</v>
      </c>
      <c r="P161" s="15">
        <v>-0.39194563300316076</v>
      </c>
      <c r="Q161" s="15">
        <f t="shared" si="8"/>
        <v>-0.39194563300316076</v>
      </c>
      <c r="R161" s="36">
        <v>0</v>
      </c>
      <c r="S161" s="15">
        <f t="shared" si="9"/>
        <v>-0.39194563300316076</v>
      </c>
      <c r="T161" s="16"/>
      <c r="U161" s="26"/>
    </row>
    <row r="162" spans="1:21" x14ac:dyDescent="0.25">
      <c r="A162" s="16" t="s">
        <v>37</v>
      </c>
      <c r="B162" s="16" t="s">
        <v>269</v>
      </c>
      <c r="C162" s="16" t="s">
        <v>270</v>
      </c>
      <c r="D162" s="16" t="s">
        <v>100</v>
      </c>
      <c r="E162" s="16" t="s">
        <v>101</v>
      </c>
      <c r="F162" s="16" t="s">
        <v>144</v>
      </c>
      <c r="G162" s="16" t="s">
        <v>145</v>
      </c>
      <c r="H162" s="16" t="s">
        <v>85</v>
      </c>
      <c r="I162" s="16" t="s">
        <v>40</v>
      </c>
      <c r="J162" s="16" t="s">
        <v>124</v>
      </c>
      <c r="K162" s="16" t="s">
        <v>125</v>
      </c>
      <c r="L162" s="15">
        <v>-431.96273174689691</v>
      </c>
      <c r="M162" s="15">
        <v>0</v>
      </c>
      <c r="N162" s="15">
        <v>-305.80999999999977</v>
      </c>
      <c r="O162" s="15">
        <v>-126.15273174689719</v>
      </c>
      <c r="P162" s="15">
        <v>0</v>
      </c>
      <c r="Q162" s="15">
        <f t="shared" si="8"/>
        <v>0</v>
      </c>
      <c r="R162" s="36">
        <v>0</v>
      </c>
      <c r="S162" s="15">
        <f t="shared" si="9"/>
        <v>0</v>
      </c>
      <c r="T162" s="16"/>
      <c r="U162" s="16"/>
    </row>
    <row r="163" spans="1:21" x14ac:dyDescent="0.25">
      <c r="A163" s="16" t="s">
        <v>37</v>
      </c>
      <c r="B163" s="16" t="s">
        <v>265</v>
      </c>
      <c r="C163" s="16" t="s">
        <v>266</v>
      </c>
      <c r="D163" s="16" t="s">
        <v>100</v>
      </c>
      <c r="E163" s="16" t="s">
        <v>101</v>
      </c>
      <c r="F163" s="16" t="s">
        <v>144</v>
      </c>
      <c r="G163" s="16" t="s">
        <v>145</v>
      </c>
      <c r="H163" s="16" t="s">
        <v>85</v>
      </c>
      <c r="I163" s="16" t="s">
        <v>40</v>
      </c>
      <c r="J163" s="16" t="s">
        <v>124</v>
      </c>
      <c r="K163" s="16" t="s">
        <v>125</v>
      </c>
      <c r="L163" s="15">
        <v>-71981.315083330468</v>
      </c>
      <c r="M163" s="15">
        <v>0</v>
      </c>
      <c r="N163" s="15">
        <v>-56762.0627143245</v>
      </c>
      <c r="O163" s="15">
        <v>-15219.252369005982</v>
      </c>
      <c r="P163" s="15">
        <v>0</v>
      </c>
      <c r="Q163" s="15">
        <f t="shared" si="8"/>
        <v>0</v>
      </c>
      <c r="R163" s="36">
        <v>0</v>
      </c>
      <c r="S163" s="15">
        <f t="shared" si="9"/>
        <v>0</v>
      </c>
      <c r="T163" s="16"/>
      <c r="U163" s="16"/>
    </row>
    <row r="164" spans="1:21" x14ac:dyDescent="0.25">
      <c r="A164" s="16" t="s">
        <v>37</v>
      </c>
      <c r="B164" s="16" t="s">
        <v>257</v>
      </c>
      <c r="C164" s="16" t="s">
        <v>258</v>
      </c>
      <c r="D164" s="16" t="s">
        <v>100</v>
      </c>
      <c r="E164" s="16" t="s">
        <v>101</v>
      </c>
      <c r="F164" s="16" t="s">
        <v>144</v>
      </c>
      <c r="G164" s="16" t="s">
        <v>145</v>
      </c>
      <c r="H164" s="16" t="s">
        <v>85</v>
      </c>
      <c r="I164" s="16" t="s">
        <v>40</v>
      </c>
      <c r="J164" s="16" t="s">
        <v>124</v>
      </c>
      <c r="K164" s="16" t="s">
        <v>125</v>
      </c>
      <c r="L164" s="15">
        <v>-56.995099999999987</v>
      </c>
      <c r="M164" s="15">
        <v>0</v>
      </c>
      <c r="N164" s="15">
        <v>-43.131703999999999</v>
      </c>
      <c r="O164" s="15">
        <v>-13.863395999999989</v>
      </c>
      <c r="P164" s="15">
        <v>0</v>
      </c>
      <c r="Q164" s="15">
        <f t="shared" si="8"/>
        <v>0</v>
      </c>
      <c r="R164" s="36">
        <v>0</v>
      </c>
      <c r="S164" s="15">
        <f t="shared" si="9"/>
        <v>0</v>
      </c>
      <c r="T164" s="16"/>
      <c r="U164" s="26"/>
    </row>
    <row r="165" spans="1:21" x14ac:dyDescent="0.25">
      <c r="A165" s="16" t="s">
        <v>37</v>
      </c>
      <c r="B165" s="16" t="s">
        <v>257</v>
      </c>
      <c r="C165" s="16" t="s">
        <v>258</v>
      </c>
      <c r="D165" s="16" t="s">
        <v>100</v>
      </c>
      <c r="E165" s="16" t="s">
        <v>101</v>
      </c>
      <c r="F165" s="16" t="s">
        <v>144</v>
      </c>
      <c r="G165" s="16" t="s">
        <v>145</v>
      </c>
      <c r="H165" s="16" t="s">
        <v>85</v>
      </c>
      <c r="I165" s="16" t="s">
        <v>40</v>
      </c>
      <c r="J165" s="16" t="s">
        <v>298</v>
      </c>
      <c r="K165" s="16" t="s">
        <v>299</v>
      </c>
      <c r="L165" s="15">
        <v>-2010.0617620200005</v>
      </c>
      <c r="M165" s="15">
        <v>-82.341567000000012</v>
      </c>
      <c r="N165" s="15">
        <v>-1275.6103594853998</v>
      </c>
      <c r="O165" s="15">
        <v>-734.45140253460056</v>
      </c>
      <c r="P165" s="15">
        <v>-734.45140253460056</v>
      </c>
      <c r="Q165" s="15">
        <f t="shared" si="8"/>
        <v>-734.45140253460056</v>
      </c>
      <c r="R165" s="36">
        <v>0</v>
      </c>
      <c r="S165" s="15">
        <f t="shared" si="9"/>
        <v>-734.45140253460056</v>
      </c>
      <c r="T165" s="16"/>
      <c r="U165" s="26"/>
    </row>
    <row r="166" spans="1:21" x14ac:dyDescent="0.25">
      <c r="A166" s="16" t="s">
        <v>37</v>
      </c>
      <c r="B166" s="16" t="s">
        <v>269</v>
      </c>
      <c r="C166" s="16" t="s">
        <v>270</v>
      </c>
      <c r="D166" s="16" t="s">
        <v>100</v>
      </c>
      <c r="E166" s="16" t="s">
        <v>101</v>
      </c>
      <c r="F166" s="16" t="s">
        <v>144</v>
      </c>
      <c r="G166" s="16" t="s">
        <v>145</v>
      </c>
      <c r="H166" s="16" t="s">
        <v>85</v>
      </c>
      <c r="I166" s="16" t="s">
        <v>40</v>
      </c>
      <c r="J166" s="16" t="s">
        <v>132</v>
      </c>
      <c r="K166" s="16" t="s">
        <v>133</v>
      </c>
      <c r="L166" s="15">
        <v>-10469.410240962792</v>
      </c>
      <c r="M166" s="15">
        <v>-10469.410240962792</v>
      </c>
      <c r="N166" s="15">
        <v>-10469.409998090654</v>
      </c>
      <c r="O166" s="15">
        <v>-2.4287214142759694E-4</v>
      </c>
      <c r="P166" s="15">
        <v>0</v>
      </c>
      <c r="Q166" s="15">
        <f t="shared" si="8"/>
        <v>0</v>
      </c>
      <c r="R166" s="36">
        <v>0</v>
      </c>
      <c r="S166" s="15">
        <f t="shared" si="9"/>
        <v>0</v>
      </c>
      <c r="T166" s="16"/>
      <c r="U166" s="16"/>
    </row>
    <row r="167" spans="1:21" x14ac:dyDescent="0.25">
      <c r="A167" s="16" t="s">
        <v>37</v>
      </c>
      <c r="B167" s="16" t="s">
        <v>257</v>
      </c>
      <c r="C167" s="16" t="s">
        <v>258</v>
      </c>
      <c r="D167" s="16" t="s">
        <v>100</v>
      </c>
      <c r="E167" s="16" t="s">
        <v>101</v>
      </c>
      <c r="F167" s="16" t="s">
        <v>144</v>
      </c>
      <c r="G167" s="16" t="s">
        <v>145</v>
      </c>
      <c r="H167" s="16" t="s">
        <v>85</v>
      </c>
      <c r="I167" s="16" t="s">
        <v>40</v>
      </c>
      <c r="J167" s="16" t="s">
        <v>132</v>
      </c>
      <c r="K167" s="16" t="s">
        <v>133</v>
      </c>
      <c r="L167" s="15">
        <v>-250002.03</v>
      </c>
      <c r="M167" s="15">
        <v>-250002.03</v>
      </c>
      <c r="N167" s="15">
        <v>-250000</v>
      </c>
      <c r="O167" s="15">
        <v>-2.0299999999988358</v>
      </c>
      <c r="P167" s="15">
        <v>0</v>
      </c>
      <c r="Q167" s="15">
        <f t="shared" si="8"/>
        <v>0</v>
      </c>
      <c r="R167" s="36">
        <v>0</v>
      </c>
      <c r="S167" s="15">
        <f t="shared" si="9"/>
        <v>0</v>
      </c>
      <c r="T167" s="16"/>
      <c r="U167" s="26"/>
    </row>
    <row r="168" spans="1:21" x14ac:dyDescent="0.25">
      <c r="A168" s="16" t="s">
        <v>37</v>
      </c>
      <c r="B168" s="16" t="s">
        <v>269</v>
      </c>
      <c r="C168" s="16" t="s">
        <v>270</v>
      </c>
      <c r="D168" s="16" t="s">
        <v>100</v>
      </c>
      <c r="E168" s="16" t="s">
        <v>101</v>
      </c>
      <c r="F168" s="16" t="s">
        <v>144</v>
      </c>
      <c r="G168" s="16" t="s">
        <v>145</v>
      </c>
      <c r="H168" s="16" t="s">
        <v>85</v>
      </c>
      <c r="I168" s="16" t="s">
        <v>40</v>
      </c>
      <c r="J168" s="16" t="s">
        <v>64</v>
      </c>
      <c r="K168" s="16" t="s">
        <v>65</v>
      </c>
      <c r="L168" s="15">
        <v>-29718.161269990629</v>
      </c>
      <c r="M168" s="15">
        <v>0</v>
      </c>
      <c r="N168" s="15">
        <v>-24718.159960831636</v>
      </c>
      <c r="O168" s="15">
        <v>-5000.0013091589972</v>
      </c>
      <c r="P168" s="15">
        <v>-5000.0013091589972</v>
      </c>
      <c r="Q168" s="15">
        <f t="shared" si="8"/>
        <v>-5000.0013091589972</v>
      </c>
      <c r="R168" s="36">
        <v>0</v>
      </c>
      <c r="S168" s="15">
        <f t="shared" si="9"/>
        <v>-5000.0013091589972</v>
      </c>
      <c r="T168" s="16"/>
      <c r="U168" s="16"/>
    </row>
    <row r="169" spans="1:21" x14ac:dyDescent="0.25">
      <c r="A169" s="16" t="s">
        <v>37</v>
      </c>
      <c r="B169" s="16" t="s">
        <v>269</v>
      </c>
      <c r="C169" s="16" t="s">
        <v>270</v>
      </c>
      <c r="D169" s="16" t="s">
        <v>100</v>
      </c>
      <c r="E169" s="16" t="s">
        <v>101</v>
      </c>
      <c r="F169" s="16" t="s">
        <v>144</v>
      </c>
      <c r="G169" s="16" t="s">
        <v>145</v>
      </c>
      <c r="H169" s="16" t="s">
        <v>85</v>
      </c>
      <c r="I169" s="16" t="s">
        <v>40</v>
      </c>
      <c r="J169" s="16" t="s">
        <v>66</v>
      </c>
      <c r="K169" s="16" t="s">
        <v>63</v>
      </c>
      <c r="L169" s="15">
        <v>-11716.70371377897</v>
      </c>
      <c r="M169" s="15">
        <v>-11716.70371377897</v>
      </c>
      <c r="N169" s="15">
        <v>-11716.719990065279</v>
      </c>
      <c r="O169" s="15">
        <v>1.6276286308993804E-2</v>
      </c>
      <c r="P169" s="15">
        <v>0</v>
      </c>
      <c r="Q169" s="15">
        <f t="shared" si="8"/>
        <v>0</v>
      </c>
      <c r="R169" s="36">
        <v>0</v>
      </c>
      <c r="S169" s="15">
        <f t="shared" si="9"/>
        <v>0</v>
      </c>
      <c r="T169" s="16"/>
      <c r="U169" s="16"/>
    </row>
    <row r="170" spans="1:21" x14ac:dyDescent="0.25">
      <c r="A170" s="16" t="s">
        <v>37</v>
      </c>
      <c r="B170" s="16" t="s">
        <v>257</v>
      </c>
      <c r="C170" s="16" t="s">
        <v>258</v>
      </c>
      <c r="D170" s="16" t="s">
        <v>100</v>
      </c>
      <c r="E170" s="16" t="s">
        <v>101</v>
      </c>
      <c r="F170" s="16" t="s">
        <v>144</v>
      </c>
      <c r="G170" s="16" t="s">
        <v>145</v>
      </c>
      <c r="H170" s="16" t="s">
        <v>85</v>
      </c>
      <c r="I170" s="16" t="s">
        <v>40</v>
      </c>
      <c r="J170" s="16" t="s">
        <v>67</v>
      </c>
      <c r="K170" s="16" t="s">
        <v>68</v>
      </c>
      <c r="L170" s="15">
        <v>-1225</v>
      </c>
      <c r="M170" s="15">
        <v>0</v>
      </c>
      <c r="N170" s="15">
        <v>0</v>
      </c>
      <c r="O170" s="15">
        <v>-1225</v>
      </c>
      <c r="P170" s="15">
        <v>-1225</v>
      </c>
      <c r="Q170" s="15">
        <f t="shared" si="8"/>
        <v>-1225</v>
      </c>
      <c r="R170" s="36">
        <v>0</v>
      </c>
      <c r="S170" s="15">
        <f t="shared" si="9"/>
        <v>-1225</v>
      </c>
      <c r="T170" s="16"/>
      <c r="U170" s="26"/>
    </row>
    <row r="171" spans="1:21" x14ac:dyDescent="0.25">
      <c r="A171" s="16" t="s">
        <v>37</v>
      </c>
      <c r="B171" s="16" t="s">
        <v>269</v>
      </c>
      <c r="C171" s="16" t="s">
        <v>270</v>
      </c>
      <c r="D171" s="16" t="s">
        <v>100</v>
      </c>
      <c r="E171" s="16" t="s">
        <v>101</v>
      </c>
      <c r="F171" s="16" t="s">
        <v>144</v>
      </c>
      <c r="G171" s="16" t="s">
        <v>145</v>
      </c>
      <c r="H171" s="16" t="s">
        <v>85</v>
      </c>
      <c r="I171" s="16" t="s">
        <v>40</v>
      </c>
      <c r="J171" s="16" t="s">
        <v>69</v>
      </c>
      <c r="K171" s="16" t="s">
        <v>70</v>
      </c>
      <c r="L171" s="15">
        <v>-2544.540558386092</v>
      </c>
      <c r="M171" s="15">
        <v>-2544.540558386092</v>
      </c>
      <c r="N171" s="15">
        <v>-2544.5299954848142</v>
      </c>
      <c r="O171" s="15">
        <v>-1.0562901278035497E-2</v>
      </c>
      <c r="P171" s="15">
        <v>0</v>
      </c>
      <c r="Q171" s="15">
        <f t="shared" si="8"/>
        <v>0</v>
      </c>
      <c r="R171" s="36">
        <v>0</v>
      </c>
      <c r="S171" s="15">
        <f t="shared" si="9"/>
        <v>0</v>
      </c>
      <c r="T171" s="16"/>
      <c r="U171" s="15">
        <f t="shared" ref="U171:U172" si="11">O171</f>
        <v>-1.0562901278035497E-2</v>
      </c>
    </row>
    <row r="172" spans="1:21" x14ac:dyDescent="0.25">
      <c r="A172" s="16" t="s">
        <v>37</v>
      </c>
      <c r="B172" s="16" t="s">
        <v>257</v>
      </c>
      <c r="C172" s="16" t="s">
        <v>258</v>
      </c>
      <c r="D172" s="16" t="s">
        <v>100</v>
      </c>
      <c r="E172" s="16" t="s">
        <v>101</v>
      </c>
      <c r="F172" s="16" t="s">
        <v>144</v>
      </c>
      <c r="G172" s="16" t="s">
        <v>145</v>
      </c>
      <c r="H172" s="16" t="s">
        <v>85</v>
      </c>
      <c r="I172" s="16" t="s">
        <v>40</v>
      </c>
      <c r="J172" s="16" t="s">
        <v>69</v>
      </c>
      <c r="K172" s="16" t="s">
        <v>70</v>
      </c>
      <c r="L172" s="15">
        <v>-818.33078699999999</v>
      </c>
      <c r="M172" s="15">
        <v>-818.33078699999999</v>
      </c>
      <c r="N172" s="15">
        <v>-807.97404339000002</v>
      </c>
      <c r="O172" s="15">
        <v>-10.356743609999967</v>
      </c>
      <c r="P172" s="15">
        <v>0</v>
      </c>
      <c r="Q172" s="15">
        <f t="shared" si="8"/>
        <v>0</v>
      </c>
      <c r="R172" s="36">
        <v>0</v>
      </c>
      <c r="S172" s="15">
        <f t="shared" si="9"/>
        <v>0</v>
      </c>
      <c r="T172" s="16"/>
      <c r="U172" s="15">
        <f t="shared" si="11"/>
        <v>-10.356743609999967</v>
      </c>
    </row>
    <row r="173" spans="1:21" x14ac:dyDescent="0.25">
      <c r="A173" s="16" t="s">
        <v>37</v>
      </c>
      <c r="B173" s="16" t="s">
        <v>257</v>
      </c>
      <c r="C173" s="16" t="s">
        <v>258</v>
      </c>
      <c r="D173" s="16" t="s">
        <v>100</v>
      </c>
      <c r="E173" s="16" t="s">
        <v>101</v>
      </c>
      <c r="F173" s="16" t="s">
        <v>144</v>
      </c>
      <c r="G173" s="16" t="s">
        <v>145</v>
      </c>
      <c r="H173" s="16" t="s">
        <v>85</v>
      </c>
      <c r="I173" s="16" t="s">
        <v>40</v>
      </c>
      <c r="J173" s="16" t="s">
        <v>136</v>
      </c>
      <c r="K173" s="16" t="s">
        <v>137</v>
      </c>
      <c r="L173" s="15">
        <v>-17277.000000000011</v>
      </c>
      <c r="M173" s="15">
        <v>0</v>
      </c>
      <c r="N173" s="15">
        <v>-17277</v>
      </c>
      <c r="O173" s="15">
        <v>-1.0913936421275139E-11</v>
      </c>
      <c r="P173" s="15">
        <v>-1.0913936421275139E-11</v>
      </c>
      <c r="Q173" s="15">
        <f t="shared" si="8"/>
        <v>-1.0913936421275139E-11</v>
      </c>
      <c r="R173" s="36">
        <v>0</v>
      </c>
      <c r="S173" s="15">
        <f t="shared" si="9"/>
        <v>-1.0913936421275139E-11</v>
      </c>
      <c r="T173" s="16"/>
      <c r="U173" s="26"/>
    </row>
    <row r="174" spans="1:21" x14ac:dyDescent="0.25">
      <c r="A174" s="16" t="s">
        <v>37</v>
      </c>
      <c r="B174" s="16" t="s">
        <v>265</v>
      </c>
      <c r="C174" s="16" t="s">
        <v>266</v>
      </c>
      <c r="D174" s="16" t="s">
        <v>100</v>
      </c>
      <c r="E174" s="16" t="s">
        <v>101</v>
      </c>
      <c r="F174" s="16" t="s">
        <v>144</v>
      </c>
      <c r="G174" s="16" t="s">
        <v>145</v>
      </c>
      <c r="H174" s="16" t="s">
        <v>85</v>
      </c>
      <c r="I174" s="16" t="s">
        <v>40</v>
      </c>
      <c r="J174" s="16" t="s">
        <v>138</v>
      </c>
      <c r="K174" s="16" t="s">
        <v>139</v>
      </c>
      <c r="L174" s="15">
        <v>-743.93665991530111</v>
      </c>
      <c r="M174" s="15">
        <v>0</v>
      </c>
      <c r="N174" s="15">
        <v>-743.93665991530099</v>
      </c>
      <c r="O174" s="15">
        <v>-5.6843418860808015E-14</v>
      </c>
      <c r="P174" s="15">
        <v>0</v>
      </c>
      <c r="Q174" s="15">
        <f t="shared" si="8"/>
        <v>0</v>
      </c>
      <c r="R174" s="36">
        <v>0</v>
      </c>
      <c r="S174" s="15">
        <f t="shared" si="9"/>
        <v>0</v>
      </c>
      <c r="T174" s="16"/>
      <c r="U174" s="16"/>
    </row>
    <row r="175" spans="1:21" x14ac:dyDescent="0.25">
      <c r="A175" s="16" t="s">
        <v>37</v>
      </c>
      <c r="B175" s="16" t="s">
        <v>269</v>
      </c>
      <c r="C175" s="16" t="s">
        <v>270</v>
      </c>
      <c r="D175" s="16" t="s">
        <v>100</v>
      </c>
      <c r="E175" s="16" t="s">
        <v>101</v>
      </c>
      <c r="F175" s="16" t="s">
        <v>146</v>
      </c>
      <c r="G175" s="16" t="s">
        <v>147</v>
      </c>
      <c r="H175" s="16" t="s">
        <v>85</v>
      </c>
      <c r="I175" s="16" t="s">
        <v>40</v>
      </c>
      <c r="J175" s="16" t="s">
        <v>38</v>
      </c>
      <c r="K175" s="16" t="s">
        <v>293</v>
      </c>
      <c r="L175" s="15">
        <v>-49801.77144710657</v>
      </c>
      <c r="M175" s="15">
        <v>-637.28071196958888</v>
      </c>
      <c r="N175" s="15">
        <v>-69945.470516241563</v>
      </c>
      <c r="O175" s="15">
        <v>20143.699069134989</v>
      </c>
      <c r="P175" s="15">
        <f>O175</f>
        <v>20143.699069134989</v>
      </c>
      <c r="Q175" s="15">
        <f>P175-R175-20144</f>
        <v>-0.3009308650107414</v>
      </c>
      <c r="R175" s="36">
        <v>0</v>
      </c>
      <c r="S175" s="15">
        <f t="shared" si="9"/>
        <v>-0.3009308650107414</v>
      </c>
      <c r="T175" s="16"/>
      <c r="U175" s="16"/>
    </row>
    <row r="176" spans="1:21" x14ac:dyDescent="0.25">
      <c r="A176" s="16" t="s">
        <v>37</v>
      </c>
      <c r="B176" s="16" t="s">
        <v>265</v>
      </c>
      <c r="C176" s="16" t="s">
        <v>266</v>
      </c>
      <c r="D176" s="16" t="s">
        <v>100</v>
      </c>
      <c r="E176" s="16" t="s">
        <v>101</v>
      </c>
      <c r="F176" s="16" t="s">
        <v>146</v>
      </c>
      <c r="G176" s="16" t="s">
        <v>147</v>
      </c>
      <c r="H176" s="16" t="s">
        <v>85</v>
      </c>
      <c r="I176" s="16" t="s">
        <v>40</v>
      </c>
      <c r="J176" s="16" t="s">
        <v>38</v>
      </c>
      <c r="K176" s="16" t="s">
        <v>293</v>
      </c>
      <c r="L176" s="15">
        <v>-267269.82501438679</v>
      </c>
      <c r="M176" s="15">
        <v>-8.8300001829691031</v>
      </c>
      <c r="N176" s="15">
        <v>-252339.51465249859</v>
      </c>
      <c r="O176" s="15">
        <v>-14930.310361888147</v>
      </c>
      <c r="P176" s="15">
        <v>-14930.310361888147</v>
      </c>
      <c r="Q176" s="15">
        <f t="shared" si="8"/>
        <v>-14930.310361888147</v>
      </c>
      <c r="R176" s="36">
        <v>0</v>
      </c>
      <c r="S176" s="15">
        <f t="shared" si="9"/>
        <v>-14930.310361888147</v>
      </c>
      <c r="T176" s="16"/>
      <c r="U176" s="16"/>
    </row>
    <row r="177" spans="1:21" x14ac:dyDescent="0.25">
      <c r="A177" s="16" t="s">
        <v>37</v>
      </c>
      <c r="B177" s="16" t="s">
        <v>261</v>
      </c>
      <c r="C177" s="16" t="s">
        <v>262</v>
      </c>
      <c r="D177" s="16" t="s">
        <v>100</v>
      </c>
      <c r="E177" s="16" t="s">
        <v>101</v>
      </c>
      <c r="F177" s="16" t="s">
        <v>146</v>
      </c>
      <c r="G177" s="16" t="s">
        <v>147</v>
      </c>
      <c r="H177" s="16" t="s">
        <v>85</v>
      </c>
      <c r="I177" s="16" t="s">
        <v>40</v>
      </c>
      <c r="J177" s="16" t="s">
        <v>38</v>
      </c>
      <c r="K177" s="16" t="s">
        <v>293</v>
      </c>
      <c r="L177" s="15">
        <v>-92117.281957858228</v>
      </c>
      <c r="M177" s="15">
        <v>-16.21</v>
      </c>
      <c r="N177" s="15">
        <v>-87730.188102519052</v>
      </c>
      <c r="O177" s="15">
        <v>-4387.0938553391716</v>
      </c>
      <c r="P177" s="15">
        <v>-4387.0938553391716</v>
      </c>
      <c r="Q177" s="15">
        <f t="shared" si="8"/>
        <v>-4387.0938553391716</v>
      </c>
      <c r="R177" s="36">
        <v>0</v>
      </c>
      <c r="S177" s="15">
        <f t="shared" si="9"/>
        <v>-4387.0938553391716</v>
      </c>
      <c r="T177" s="16"/>
      <c r="U177" s="16"/>
    </row>
    <row r="178" spans="1:21" x14ac:dyDescent="0.25">
      <c r="A178" s="16" t="s">
        <v>37</v>
      </c>
      <c r="B178" s="16" t="s">
        <v>257</v>
      </c>
      <c r="C178" s="16" t="s">
        <v>258</v>
      </c>
      <c r="D178" s="16" t="s">
        <v>100</v>
      </c>
      <c r="E178" s="16" t="s">
        <v>101</v>
      </c>
      <c r="F178" s="16" t="s">
        <v>146</v>
      </c>
      <c r="G178" s="16" t="s">
        <v>147</v>
      </c>
      <c r="H178" s="16" t="s">
        <v>85</v>
      </c>
      <c r="I178" s="16" t="s">
        <v>40</v>
      </c>
      <c r="J178" s="16" t="s">
        <v>38</v>
      </c>
      <c r="K178" s="16" t="s">
        <v>293</v>
      </c>
      <c r="L178" s="15">
        <v>-1162319.6230223663</v>
      </c>
      <c r="M178" s="15">
        <v>-930113.87222583685</v>
      </c>
      <c r="N178" s="15">
        <v>-1145149.5481070583</v>
      </c>
      <c r="O178" s="15">
        <v>-17170.074915307923</v>
      </c>
      <c r="P178" s="15">
        <v>-17170.074915307923</v>
      </c>
      <c r="Q178" s="15">
        <f>P178-R178+P175-2738.87</f>
        <v>234.75415382706615</v>
      </c>
      <c r="R178" s="36">
        <v>0</v>
      </c>
      <c r="S178" s="15">
        <f t="shared" si="9"/>
        <v>234.75415382706615</v>
      </c>
      <c r="T178" s="16"/>
      <c r="U178" s="26"/>
    </row>
    <row r="179" spans="1:21" x14ac:dyDescent="0.25">
      <c r="A179" s="16" t="s">
        <v>37</v>
      </c>
      <c r="B179" s="16" t="s">
        <v>257</v>
      </c>
      <c r="C179" s="16" t="s">
        <v>258</v>
      </c>
      <c r="D179" s="16" t="s">
        <v>100</v>
      </c>
      <c r="E179" s="16" t="s">
        <v>101</v>
      </c>
      <c r="F179" s="16" t="s">
        <v>146</v>
      </c>
      <c r="G179" s="16" t="s">
        <v>147</v>
      </c>
      <c r="H179" s="16" t="s">
        <v>85</v>
      </c>
      <c r="I179" s="16" t="s">
        <v>40</v>
      </c>
      <c r="J179" s="16" t="s">
        <v>300</v>
      </c>
      <c r="K179" s="16" t="s">
        <v>301</v>
      </c>
      <c r="L179" s="15">
        <v>-3220.3389830508472</v>
      </c>
      <c r="M179" s="15">
        <v>0</v>
      </c>
      <c r="N179" s="15">
        <v>0</v>
      </c>
      <c r="O179" s="15">
        <v>-3220.3389830508472</v>
      </c>
      <c r="P179" s="15">
        <v>-3220.3389830508472</v>
      </c>
      <c r="Q179" s="15">
        <v>0</v>
      </c>
      <c r="R179" s="36">
        <v>0</v>
      </c>
      <c r="S179" s="15">
        <f t="shared" si="9"/>
        <v>0</v>
      </c>
      <c r="T179" s="16"/>
      <c r="U179" s="26"/>
    </row>
    <row r="180" spans="1:21" x14ac:dyDescent="0.25">
      <c r="A180" s="16" t="s">
        <v>37</v>
      </c>
      <c r="B180" s="16" t="s">
        <v>257</v>
      </c>
      <c r="C180" s="16" t="s">
        <v>258</v>
      </c>
      <c r="D180" s="16" t="s">
        <v>100</v>
      </c>
      <c r="E180" s="16" t="s">
        <v>101</v>
      </c>
      <c r="F180" s="16" t="s">
        <v>146</v>
      </c>
      <c r="G180" s="16" t="s">
        <v>147</v>
      </c>
      <c r="H180" s="16" t="s">
        <v>85</v>
      </c>
      <c r="I180" s="16" t="s">
        <v>40</v>
      </c>
      <c r="J180" s="16" t="s">
        <v>285</v>
      </c>
      <c r="K180" s="16" t="s">
        <v>286</v>
      </c>
      <c r="L180" s="15">
        <v>-352108.23981900001</v>
      </c>
      <c r="M180" s="15">
        <v>-275574.39895599999</v>
      </c>
      <c r="N180" s="15">
        <v>-134197.99339400002</v>
      </c>
      <c r="O180" s="15">
        <v>-217910.24642500002</v>
      </c>
      <c r="P180" s="15">
        <f>O180</f>
        <v>-217910.24642500002</v>
      </c>
      <c r="Q180" s="15">
        <f t="shared" si="8"/>
        <v>-141376.40642500002</v>
      </c>
      <c r="R180" s="36">
        <f>-278890.1758+278890.1758-76533.84</f>
        <v>-76533.84</v>
      </c>
      <c r="S180" s="15">
        <f t="shared" si="9"/>
        <v>-217910.24642500002</v>
      </c>
      <c r="T180" s="16"/>
      <c r="U180" s="26"/>
    </row>
    <row r="181" spans="1:21" x14ac:dyDescent="0.25">
      <c r="A181" s="16" t="s">
        <v>37</v>
      </c>
      <c r="B181" s="16" t="s">
        <v>257</v>
      </c>
      <c r="C181" s="16" t="s">
        <v>258</v>
      </c>
      <c r="D181" s="16" t="s">
        <v>100</v>
      </c>
      <c r="E181" s="16" t="s">
        <v>101</v>
      </c>
      <c r="F181" s="16" t="s">
        <v>146</v>
      </c>
      <c r="G181" s="16" t="s">
        <v>147</v>
      </c>
      <c r="H181" s="16" t="s">
        <v>85</v>
      </c>
      <c r="I181" s="16" t="s">
        <v>40</v>
      </c>
      <c r="J181" s="16" t="s">
        <v>142</v>
      </c>
      <c r="K181" s="16" t="s">
        <v>143</v>
      </c>
      <c r="L181" s="15">
        <v>-4258.0300000000007</v>
      </c>
      <c r="M181" s="15">
        <v>0</v>
      </c>
      <c r="N181" s="15">
        <v>0</v>
      </c>
      <c r="O181" s="15">
        <v>-4258.0300000000007</v>
      </c>
      <c r="P181" s="15">
        <v>-4258.0300000000007</v>
      </c>
      <c r="Q181" s="15">
        <f t="shared" si="8"/>
        <v>-4258.0300000000007</v>
      </c>
      <c r="R181" s="36">
        <v>0</v>
      </c>
      <c r="S181" s="50">
        <f t="shared" si="9"/>
        <v>-4258.0300000000007</v>
      </c>
      <c r="T181" s="16"/>
      <c r="U181" s="26"/>
    </row>
    <row r="182" spans="1:21" x14ac:dyDescent="0.25">
      <c r="A182" s="16" t="s">
        <v>37</v>
      </c>
      <c r="B182" s="16" t="s">
        <v>269</v>
      </c>
      <c r="C182" s="16" t="s">
        <v>270</v>
      </c>
      <c r="D182" s="16" t="s">
        <v>100</v>
      </c>
      <c r="E182" s="16" t="s">
        <v>101</v>
      </c>
      <c r="F182" s="16" t="s">
        <v>146</v>
      </c>
      <c r="G182" s="16" t="s">
        <v>147</v>
      </c>
      <c r="H182" s="16" t="s">
        <v>85</v>
      </c>
      <c r="I182" s="16" t="s">
        <v>40</v>
      </c>
      <c r="J182" s="16" t="s">
        <v>130</v>
      </c>
      <c r="K182" s="16" t="s">
        <v>131</v>
      </c>
      <c r="L182" s="15">
        <v>-2230.9300000077028</v>
      </c>
      <c r="M182" s="15">
        <v>-2230.9300000077028</v>
      </c>
      <c r="N182" s="15">
        <v>0</v>
      </c>
      <c r="O182" s="15">
        <v>-2230.9300000077028</v>
      </c>
      <c r="P182" s="15">
        <v>-2230.9300000077028</v>
      </c>
      <c r="Q182" s="15">
        <f t="shared" si="8"/>
        <v>-2230.9300000077028</v>
      </c>
      <c r="R182" s="36">
        <v>0</v>
      </c>
      <c r="S182" s="50">
        <f t="shared" si="9"/>
        <v>-2230.9300000077028</v>
      </c>
      <c r="T182" s="16"/>
      <c r="U182" s="16"/>
    </row>
    <row r="183" spans="1:21" x14ac:dyDescent="0.25">
      <c r="A183" s="16" t="s">
        <v>37</v>
      </c>
      <c r="B183" s="16" t="s">
        <v>257</v>
      </c>
      <c r="C183" s="16" t="s">
        <v>258</v>
      </c>
      <c r="D183" s="16" t="s">
        <v>100</v>
      </c>
      <c r="E183" s="16" t="s">
        <v>101</v>
      </c>
      <c r="F183" s="16" t="s">
        <v>146</v>
      </c>
      <c r="G183" s="16" t="s">
        <v>147</v>
      </c>
      <c r="H183" s="16" t="s">
        <v>85</v>
      </c>
      <c r="I183" s="16" t="s">
        <v>40</v>
      </c>
      <c r="J183" s="16" t="s">
        <v>296</v>
      </c>
      <c r="K183" s="16" t="s">
        <v>297</v>
      </c>
      <c r="L183" s="15">
        <v>-6778.4949694265997</v>
      </c>
      <c r="M183" s="15">
        <v>-4065.6389214000001</v>
      </c>
      <c r="N183" s="15">
        <v>-6720.3059720000001</v>
      </c>
      <c r="O183" s="15">
        <v>-58.18899742659778</v>
      </c>
      <c r="P183" s="15">
        <v>-58.18899742659778</v>
      </c>
      <c r="Q183" s="15">
        <f t="shared" si="8"/>
        <v>-58.18899742659778</v>
      </c>
      <c r="R183" s="36">
        <v>0</v>
      </c>
      <c r="S183" s="15">
        <f t="shared" si="9"/>
        <v>-58.18899742659778</v>
      </c>
      <c r="T183" s="16"/>
      <c r="U183" s="26"/>
    </row>
    <row r="184" spans="1:21" x14ac:dyDescent="0.25">
      <c r="A184" s="16" t="s">
        <v>37</v>
      </c>
      <c r="B184" s="16" t="s">
        <v>265</v>
      </c>
      <c r="C184" s="16" t="s">
        <v>266</v>
      </c>
      <c r="D184" s="16" t="s">
        <v>100</v>
      </c>
      <c r="E184" s="16" t="s">
        <v>101</v>
      </c>
      <c r="F184" s="16" t="s">
        <v>146</v>
      </c>
      <c r="G184" s="16" t="s">
        <v>147</v>
      </c>
      <c r="H184" s="16" t="s">
        <v>85</v>
      </c>
      <c r="I184" s="16" t="s">
        <v>40</v>
      </c>
      <c r="J184" s="16" t="s">
        <v>124</v>
      </c>
      <c r="K184" s="16" t="s">
        <v>125</v>
      </c>
      <c r="L184" s="15">
        <v>-25708.388869084607</v>
      </c>
      <c r="M184" s="15">
        <v>0</v>
      </c>
      <c r="N184" s="15">
        <v>-20556.977441243391</v>
      </c>
      <c r="O184" s="15">
        <v>-5151.4114278412198</v>
      </c>
      <c r="P184" s="15">
        <v>0</v>
      </c>
      <c r="Q184" s="15">
        <f t="shared" si="8"/>
        <v>0</v>
      </c>
      <c r="R184" s="36">
        <v>0</v>
      </c>
      <c r="S184" s="15">
        <f t="shared" si="9"/>
        <v>0</v>
      </c>
      <c r="T184" s="16"/>
      <c r="U184" s="16"/>
    </row>
    <row r="185" spans="1:21" x14ac:dyDescent="0.25">
      <c r="A185" s="16" t="s">
        <v>37</v>
      </c>
      <c r="B185" s="16" t="s">
        <v>269</v>
      </c>
      <c r="C185" s="16" t="s">
        <v>270</v>
      </c>
      <c r="D185" s="16" t="s">
        <v>100</v>
      </c>
      <c r="E185" s="16" t="s">
        <v>101</v>
      </c>
      <c r="F185" s="16" t="s">
        <v>146</v>
      </c>
      <c r="G185" s="16" t="s">
        <v>147</v>
      </c>
      <c r="H185" s="16" t="s">
        <v>85</v>
      </c>
      <c r="I185" s="16" t="s">
        <v>40</v>
      </c>
      <c r="J185" s="16" t="s">
        <v>124</v>
      </c>
      <c r="K185" s="16" t="s">
        <v>125</v>
      </c>
      <c r="L185" s="15">
        <v>-241.80808927894361</v>
      </c>
      <c r="M185" s="15">
        <v>0</v>
      </c>
      <c r="N185" s="15">
        <v>-179.08999999999986</v>
      </c>
      <c r="O185" s="15">
        <v>-62.718089278943737</v>
      </c>
      <c r="P185" s="15">
        <v>0</v>
      </c>
      <c r="Q185" s="15">
        <f t="shared" si="8"/>
        <v>0</v>
      </c>
      <c r="R185" s="36">
        <v>0</v>
      </c>
      <c r="S185" s="15">
        <f t="shared" si="9"/>
        <v>0</v>
      </c>
      <c r="T185" s="16"/>
      <c r="U185" s="16"/>
    </row>
    <row r="186" spans="1:21" x14ac:dyDescent="0.25">
      <c r="A186" s="16" t="s">
        <v>37</v>
      </c>
      <c r="B186" s="16" t="s">
        <v>261</v>
      </c>
      <c r="C186" s="16" t="s">
        <v>262</v>
      </c>
      <c r="D186" s="16" t="s">
        <v>100</v>
      </c>
      <c r="E186" s="16" t="s">
        <v>101</v>
      </c>
      <c r="F186" s="16" t="s">
        <v>146</v>
      </c>
      <c r="G186" s="16" t="s">
        <v>147</v>
      </c>
      <c r="H186" s="16" t="s">
        <v>85</v>
      </c>
      <c r="I186" s="16" t="s">
        <v>40</v>
      </c>
      <c r="J186" s="16" t="s">
        <v>124</v>
      </c>
      <c r="K186" s="16" t="s">
        <v>125</v>
      </c>
      <c r="L186" s="15">
        <v>-5783.9631529900016</v>
      </c>
      <c r="M186" s="15">
        <v>0</v>
      </c>
      <c r="N186" s="15">
        <v>-5778.7035166568003</v>
      </c>
      <c r="O186" s="15">
        <v>-5.2596363332010583</v>
      </c>
      <c r="P186" s="15">
        <v>0</v>
      </c>
      <c r="Q186" s="15">
        <f t="shared" si="8"/>
        <v>0</v>
      </c>
      <c r="R186" s="36">
        <v>0</v>
      </c>
      <c r="S186" s="15">
        <f t="shared" si="9"/>
        <v>0</v>
      </c>
      <c r="T186" s="16"/>
      <c r="U186" s="16"/>
    </row>
    <row r="187" spans="1:21" x14ac:dyDescent="0.25">
      <c r="A187" s="16" t="s">
        <v>37</v>
      </c>
      <c r="B187" s="16" t="s">
        <v>257</v>
      </c>
      <c r="C187" s="16" t="s">
        <v>258</v>
      </c>
      <c r="D187" s="16" t="s">
        <v>100</v>
      </c>
      <c r="E187" s="16" t="s">
        <v>101</v>
      </c>
      <c r="F187" s="16" t="s">
        <v>146</v>
      </c>
      <c r="G187" s="16" t="s">
        <v>147</v>
      </c>
      <c r="H187" s="16" t="s">
        <v>85</v>
      </c>
      <c r="I187" s="16" t="s">
        <v>40</v>
      </c>
      <c r="J187" s="16" t="s">
        <v>124</v>
      </c>
      <c r="K187" s="16" t="s">
        <v>125</v>
      </c>
      <c r="L187" s="15">
        <v>-49.851300000000002</v>
      </c>
      <c r="M187" s="15">
        <v>0</v>
      </c>
      <c r="N187" s="15">
        <v>-37.775855999999997</v>
      </c>
      <c r="O187" s="15">
        <v>-12.075444000000005</v>
      </c>
      <c r="P187" s="15">
        <v>0</v>
      </c>
      <c r="Q187" s="15">
        <f t="shared" si="8"/>
        <v>0</v>
      </c>
      <c r="R187" s="36">
        <v>0</v>
      </c>
      <c r="S187" s="15">
        <f t="shared" si="9"/>
        <v>0</v>
      </c>
      <c r="T187" s="16"/>
      <c r="U187" s="26"/>
    </row>
    <row r="188" spans="1:21" x14ac:dyDescent="0.25">
      <c r="A188" s="16" t="s">
        <v>37</v>
      </c>
      <c r="B188" s="16" t="s">
        <v>257</v>
      </c>
      <c r="C188" s="16" t="s">
        <v>258</v>
      </c>
      <c r="D188" s="16" t="s">
        <v>100</v>
      </c>
      <c r="E188" s="16" t="s">
        <v>101</v>
      </c>
      <c r="F188" s="16" t="s">
        <v>146</v>
      </c>
      <c r="G188" s="16" t="s">
        <v>147</v>
      </c>
      <c r="H188" s="16" t="s">
        <v>85</v>
      </c>
      <c r="I188" s="16" t="s">
        <v>40</v>
      </c>
      <c r="J188" s="16" t="s">
        <v>298</v>
      </c>
      <c r="K188" s="16" t="s">
        <v>299</v>
      </c>
      <c r="L188" s="15">
        <v>-21892.149442080001</v>
      </c>
      <c r="M188" s="15">
        <v>-196.76426400000011</v>
      </c>
      <c r="N188" s="15">
        <v>-20126.547093721201</v>
      </c>
      <c r="O188" s="15">
        <v>-1765.6023483587987</v>
      </c>
      <c r="P188" s="15">
        <v>-1765.6023483587987</v>
      </c>
      <c r="Q188" s="15">
        <f t="shared" si="8"/>
        <v>-1765.6023483587987</v>
      </c>
      <c r="R188" s="36">
        <v>0</v>
      </c>
      <c r="S188" s="15">
        <f t="shared" si="9"/>
        <v>-1765.6023483587987</v>
      </c>
      <c r="T188" s="16"/>
      <c r="U188" s="26"/>
    </row>
    <row r="189" spans="1:21" x14ac:dyDescent="0.25">
      <c r="A189" s="16" t="s">
        <v>37</v>
      </c>
      <c r="B189" s="16" t="s">
        <v>269</v>
      </c>
      <c r="C189" s="16" t="s">
        <v>270</v>
      </c>
      <c r="D189" s="16" t="s">
        <v>100</v>
      </c>
      <c r="E189" s="16" t="s">
        <v>101</v>
      </c>
      <c r="F189" s="16" t="s">
        <v>146</v>
      </c>
      <c r="G189" s="16" t="s">
        <v>147</v>
      </c>
      <c r="H189" s="16" t="s">
        <v>85</v>
      </c>
      <c r="I189" s="16" t="s">
        <v>40</v>
      </c>
      <c r="J189" s="16" t="s">
        <v>132</v>
      </c>
      <c r="K189" s="16" t="s">
        <v>133</v>
      </c>
      <c r="L189" s="15">
        <v>-6342.182040569498</v>
      </c>
      <c r="M189" s="15">
        <v>-6342.182040569498</v>
      </c>
      <c r="N189" s="15">
        <v>-6342.1799988433522</v>
      </c>
      <c r="O189" s="15">
        <v>-2.0417261459897418E-3</v>
      </c>
      <c r="P189" s="15">
        <v>0</v>
      </c>
      <c r="Q189" s="15">
        <f t="shared" si="8"/>
        <v>0</v>
      </c>
      <c r="R189" s="15">
        <v>0</v>
      </c>
      <c r="S189" s="15">
        <f t="shared" si="9"/>
        <v>0</v>
      </c>
      <c r="T189" s="16"/>
      <c r="U189" s="16"/>
    </row>
    <row r="190" spans="1:21" x14ac:dyDescent="0.25">
      <c r="A190" s="16" t="s">
        <v>37</v>
      </c>
      <c r="B190" s="16" t="s">
        <v>257</v>
      </c>
      <c r="C190" s="16" t="s">
        <v>258</v>
      </c>
      <c r="D190" s="16" t="s">
        <v>100</v>
      </c>
      <c r="E190" s="16" t="s">
        <v>101</v>
      </c>
      <c r="F190" s="16" t="s">
        <v>146</v>
      </c>
      <c r="G190" s="16" t="s">
        <v>147</v>
      </c>
      <c r="H190" s="16" t="s">
        <v>85</v>
      </c>
      <c r="I190" s="16" t="s">
        <v>40</v>
      </c>
      <c r="J190" s="16" t="s">
        <v>302</v>
      </c>
      <c r="K190" s="16" t="s">
        <v>303</v>
      </c>
      <c r="L190" s="15">
        <v>-6779.6610084745753</v>
      </c>
      <c r="M190" s="15">
        <v>0</v>
      </c>
      <c r="N190" s="15">
        <v>-6705.8293000000003</v>
      </c>
      <c r="O190" s="15">
        <v>-73.831708474575862</v>
      </c>
      <c r="P190" s="15">
        <v>-73.831708474575862</v>
      </c>
      <c r="Q190" s="15">
        <f>555-555</f>
        <v>0</v>
      </c>
      <c r="R190" s="15">
        <f>-555+555</f>
        <v>0</v>
      </c>
      <c r="S190" s="15">
        <f t="shared" si="9"/>
        <v>0</v>
      </c>
      <c r="T190" s="16"/>
      <c r="U190" s="26"/>
    </row>
    <row r="191" spans="1:21" x14ac:dyDescent="0.25">
      <c r="A191" s="16" t="s">
        <v>37</v>
      </c>
      <c r="B191" s="16" t="s">
        <v>269</v>
      </c>
      <c r="C191" s="16" t="s">
        <v>270</v>
      </c>
      <c r="D191" s="16" t="s">
        <v>100</v>
      </c>
      <c r="E191" s="16" t="s">
        <v>101</v>
      </c>
      <c r="F191" s="16" t="s">
        <v>146</v>
      </c>
      <c r="G191" s="16" t="s">
        <v>147</v>
      </c>
      <c r="H191" s="16" t="s">
        <v>85</v>
      </c>
      <c r="I191" s="16" t="s">
        <v>40</v>
      </c>
      <c r="J191" s="16" t="s">
        <v>64</v>
      </c>
      <c r="K191" s="16" t="s">
        <v>65</v>
      </c>
      <c r="L191" s="15">
        <v>-14581.47458308971</v>
      </c>
      <c r="M191" s="15">
        <v>0</v>
      </c>
      <c r="N191" s="15">
        <v>-12652.309979951164</v>
      </c>
      <c r="O191" s="15">
        <v>-1929.164603138548</v>
      </c>
      <c r="P191" s="15">
        <v>-1929.164603138548</v>
      </c>
      <c r="Q191" s="15">
        <f t="shared" si="8"/>
        <v>-1929.164603138548</v>
      </c>
      <c r="R191" s="15">
        <v>0</v>
      </c>
      <c r="S191" s="15">
        <f t="shared" si="9"/>
        <v>-1929.164603138548</v>
      </c>
      <c r="T191" s="16"/>
      <c r="U191" s="16"/>
    </row>
    <row r="192" spans="1:21" x14ac:dyDescent="0.25">
      <c r="A192" s="16" t="s">
        <v>37</v>
      </c>
      <c r="B192" s="16" t="s">
        <v>269</v>
      </c>
      <c r="C192" s="16" t="s">
        <v>270</v>
      </c>
      <c r="D192" s="16" t="s">
        <v>100</v>
      </c>
      <c r="E192" s="16" t="s">
        <v>101</v>
      </c>
      <c r="F192" s="16" t="s">
        <v>146</v>
      </c>
      <c r="G192" s="16" t="s">
        <v>147</v>
      </c>
      <c r="H192" s="16" t="s">
        <v>85</v>
      </c>
      <c r="I192" s="16" t="s">
        <v>40</v>
      </c>
      <c r="J192" s="16" t="s">
        <v>66</v>
      </c>
      <c r="K192" s="16" t="s">
        <v>63</v>
      </c>
      <c r="L192" s="15">
        <v>-9259.9187166651645</v>
      </c>
      <c r="M192" s="15">
        <v>-9259.9187166651645</v>
      </c>
      <c r="N192" s="15">
        <v>-9259.9199921484233</v>
      </c>
      <c r="O192" s="15">
        <v>1.2754832588655063E-3</v>
      </c>
      <c r="P192" s="15">
        <v>0</v>
      </c>
      <c r="Q192" s="15">
        <f t="shared" si="8"/>
        <v>0</v>
      </c>
      <c r="R192" s="15">
        <v>0</v>
      </c>
      <c r="S192" s="15">
        <f t="shared" si="9"/>
        <v>0</v>
      </c>
      <c r="T192" s="16"/>
      <c r="U192" s="16"/>
    </row>
    <row r="193" spans="1:21" x14ac:dyDescent="0.25">
      <c r="A193" s="16" t="s">
        <v>37</v>
      </c>
      <c r="B193" s="16" t="s">
        <v>257</v>
      </c>
      <c r="C193" s="16" t="s">
        <v>258</v>
      </c>
      <c r="D193" s="16" t="s">
        <v>100</v>
      </c>
      <c r="E193" s="16" t="s">
        <v>101</v>
      </c>
      <c r="F193" s="16" t="s">
        <v>146</v>
      </c>
      <c r="G193" s="16" t="s">
        <v>147</v>
      </c>
      <c r="H193" s="16" t="s">
        <v>85</v>
      </c>
      <c r="I193" s="16" t="s">
        <v>40</v>
      </c>
      <c r="J193" s="16" t="s">
        <v>67</v>
      </c>
      <c r="K193" s="16" t="s">
        <v>68</v>
      </c>
      <c r="L193" s="15">
        <v>-2725</v>
      </c>
      <c r="M193" s="15">
        <v>0</v>
      </c>
      <c r="N193" s="15">
        <v>0</v>
      </c>
      <c r="O193" s="15">
        <v>-2725</v>
      </c>
      <c r="P193" s="15">
        <v>-2725</v>
      </c>
      <c r="Q193" s="15">
        <f t="shared" si="8"/>
        <v>-2725</v>
      </c>
      <c r="R193" s="15">
        <v>0</v>
      </c>
      <c r="S193" s="15">
        <f t="shared" si="9"/>
        <v>-2725</v>
      </c>
      <c r="T193" s="16"/>
      <c r="U193" s="26"/>
    </row>
    <row r="194" spans="1:21" x14ac:dyDescent="0.25">
      <c r="A194" s="16" t="s">
        <v>37</v>
      </c>
      <c r="B194" s="16" t="s">
        <v>269</v>
      </c>
      <c r="C194" s="16" t="s">
        <v>270</v>
      </c>
      <c r="D194" s="16" t="s">
        <v>100</v>
      </c>
      <c r="E194" s="16" t="s">
        <v>101</v>
      </c>
      <c r="F194" s="16" t="s">
        <v>146</v>
      </c>
      <c r="G194" s="16" t="s">
        <v>147</v>
      </c>
      <c r="H194" s="16" t="s">
        <v>85</v>
      </c>
      <c r="I194" s="16" t="s">
        <v>40</v>
      </c>
      <c r="J194" s="16" t="s">
        <v>69</v>
      </c>
      <c r="K194" s="16" t="s">
        <v>70</v>
      </c>
      <c r="L194" s="15">
        <v>-211.60702319648058</v>
      </c>
      <c r="M194" s="15">
        <v>-211.60702319648058</v>
      </c>
      <c r="N194" s="15">
        <v>-211.60999962450492</v>
      </c>
      <c r="O194" s="15">
        <v>2.976428024325628E-3</v>
      </c>
      <c r="P194" s="15">
        <v>0</v>
      </c>
      <c r="Q194" s="15">
        <f t="shared" si="8"/>
        <v>0</v>
      </c>
      <c r="R194" s="15">
        <v>0</v>
      </c>
      <c r="S194" s="15">
        <f t="shared" si="9"/>
        <v>0</v>
      </c>
      <c r="T194" s="16"/>
      <c r="U194" s="15">
        <f t="shared" ref="U194:U196" si="12">O194</f>
        <v>2.976428024325628E-3</v>
      </c>
    </row>
    <row r="195" spans="1:21" x14ac:dyDescent="0.25">
      <c r="A195" s="16" t="s">
        <v>37</v>
      </c>
      <c r="B195" s="16" t="s">
        <v>261</v>
      </c>
      <c r="C195" s="16" t="s">
        <v>262</v>
      </c>
      <c r="D195" s="16" t="s">
        <v>100</v>
      </c>
      <c r="E195" s="16" t="s">
        <v>101</v>
      </c>
      <c r="F195" s="16" t="s">
        <v>146</v>
      </c>
      <c r="G195" s="16" t="s">
        <v>147</v>
      </c>
      <c r="H195" s="16" t="s">
        <v>85</v>
      </c>
      <c r="I195" s="16" t="s">
        <v>40</v>
      </c>
      <c r="J195" s="16" t="s">
        <v>69</v>
      </c>
      <c r="K195" s="16" t="s">
        <v>70</v>
      </c>
      <c r="L195" s="15">
        <v>-472.38999989899992</v>
      </c>
      <c r="M195" s="15">
        <v>-472.38999999999987</v>
      </c>
      <c r="N195" s="15">
        <v>-509.80390000000011</v>
      </c>
      <c r="O195" s="15">
        <v>37.413900101000209</v>
      </c>
      <c r="P195" s="15">
        <v>0</v>
      </c>
      <c r="Q195" s="15">
        <f t="shared" si="8"/>
        <v>0</v>
      </c>
      <c r="R195" s="15">
        <v>0</v>
      </c>
      <c r="S195" s="15">
        <f t="shared" si="9"/>
        <v>0</v>
      </c>
      <c r="T195" s="16"/>
      <c r="U195" s="15">
        <f t="shared" si="12"/>
        <v>37.413900101000209</v>
      </c>
    </row>
    <row r="196" spans="1:21" x14ac:dyDescent="0.25">
      <c r="A196" s="16" t="s">
        <v>37</v>
      </c>
      <c r="B196" s="16" t="s">
        <v>257</v>
      </c>
      <c r="C196" s="16" t="s">
        <v>258</v>
      </c>
      <c r="D196" s="16" t="s">
        <v>100</v>
      </c>
      <c r="E196" s="16" t="s">
        <v>101</v>
      </c>
      <c r="F196" s="16" t="s">
        <v>146</v>
      </c>
      <c r="G196" s="16" t="s">
        <v>147</v>
      </c>
      <c r="H196" s="16" t="s">
        <v>85</v>
      </c>
      <c r="I196" s="16" t="s">
        <v>40</v>
      </c>
      <c r="J196" s="16" t="s">
        <v>69</v>
      </c>
      <c r="K196" s="16" t="s">
        <v>70</v>
      </c>
      <c r="L196" s="15">
        <v>-1818.51286</v>
      </c>
      <c r="M196" s="15">
        <v>-1818.51286</v>
      </c>
      <c r="N196" s="15">
        <v>-1795.4978742000003</v>
      </c>
      <c r="O196" s="15">
        <v>-23.014985799999693</v>
      </c>
      <c r="P196" s="15">
        <v>0</v>
      </c>
      <c r="Q196" s="15">
        <f t="shared" si="8"/>
        <v>0</v>
      </c>
      <c r="R196" s="15">
        <v>0</v>
      </c>
      <c r="S196" s="15">
        <f t="shared" si="9"/>
        <v>0</v>
      </c>
      <c r="T196" s="16"/>
      <c r="U196" s="15">
        <f t="shared" si="12"/>
        <v>-23.014985799999693</v>
      </c>
    </row>
    <row r="197" spans="1:21" x14ac:dyDescent="0.25">
      <c r="A197" s="16" t="s">
        <v>37</v>
      </c>
      <c r="B197" s="16" t="s">
        <v>257</v>
      </c>
      <c r="C197" s="16" t="s">
        <v>258</v>
      </c>
      <c r="D197" s="16" t="s">
        <v>100</v>
      </c>
      <c r="E197" s="16" t="s">
        <v>101</v>
      </c>
      <c r="F197" s="16" t="s">
        <v>146</v>
      </c>
      <c r="G197" s="16" t="s">
        <v>147</v>
      </c>
      <c r="H197" s="16" t="s">
        <v>85</v>
      </c>
      <c r="I197" s="16" t="s">
        <v>40</v>
      </c>
      <c r="J197" s="16" t="s">
        <v>136</v>
      </c>
      <c r="K197" s="16" t="s">
        <v>137</v>
      </c>
      <c r="L197" s="15">
        <v>-15150.600000000011</v>
      </c>
      <c r="M197" s="15">
        <v>0</v>
      </c>
      <c r="N197" s="15">
        <v>-15150.6</v>
      </c>
      <c r="O197" s="15">
        <v>-1.0118128557223827E-11</v>
      </c>
      <c r="P197" s="15">
        <v>-1.0118128557223827E-11</v>
      </c>
      <c r="Q197" s="15">
        <f t="shared" si="8"/>
        <v>-1.0118128557223827E-11</v>
      </c>
      <c r="R197" s="36">
        <v>0</v>
      </c>
      <c r="S197" s="15">
        <f t="shared" si="9"/>
        <v>-1.0118128557223827E-11</v>
      </c>
      <c r="T197" s="16"/>
      <c r="U197" s="26"/>
    </row>
    <row r="198" spans="1:21" x14ac:dyDescent="0.25">
      <c r="A198" s="16" t="s">
        <v>37</v>
      </c>
      <c r="B198" s="16" t="s">
        <v>265</v>
      </c>
      <c r="C198" s="16" t="s">
        <v>266</v>
      </c>
      <c r="D198" s="16" t="s">
        <v>100</v>
      </c>
      <c r="E198" s="16" t="s">
        <v>101</v>
      </c>
      <c r="F198" s="16" t="s">
        <v>146</v>
      </c>
      <c r="G198" s="16" t="s">
        <v>147</v>
      </c>
      <c r="H198" s="16" t="s">
        <v>85</v>
      </c>
      <c r="I198" s="16" t="s">
        <v>40</v>
      </c>
      <c r="J198" s="16" t="s">
        <v>138</v>
      </c>
      <c r="K198" s="16" t="s">
        <v>139</v>
      </c>
      <c r="L198" s="15">
        <v>-283.7046584422759</v>
      </c>
      <c r="M198" s="15">
        <v>0</v>
      </c>
      <c r="N198" s="15">
        <v>-283.7046584422759</v>
      </c>
      <c r="O198" s="15">
        <v>1.4210854715202004E-14</v>
      </c>
      <c r="P198" s="15">
        <v>0</v>
      </c>
      <c r="Q198" s="15">
        <f t="shared" si="8"/>
        <v>0</v>
      </c>
      <c r="R198" s="36">
        <v>0</v>
      </c>
      <c r="S198" s="15">
        <f t="shared" si="9"/>
        <v>0</v>
      </c>
      <c r="T198" s="16"/>
      <c r="U198" s="16"/>
    </row>
    <row r="199" spans="1:21" x14ac:dyDescent="0.25">
      <c r="A199" s="16" t="s">
        <v>37</v>
      </c>
      <c r="B199" s="16" t="s">
        <v>269</v>
      </c>
      <c r="C199" s="16" t="s">
        <v>270</v>
      </c>
      <c r="D199" s="16" t="s">
        <v>100</v>
      </c>
      <c r="E199" s="16" t="s">
        <v>101</v>
      </c>
      <c r="F199" s="16" t="s">
        <v>148</v>
      </c>
      <c r="G199" s="16" t="s">
        <v>149</v>
      </c>
      <c r="H199" s="16" t="s">
        <v>85</v>
      </c>
      <c r="I199" s="16" t="s">
        <v>40</v>
      </c>
      <c r="J199" s="16" t="s">
        <v>38</v>
      </c>
      <c r="K199" s="16" t="s">
        <v>293</v>
      </c>
      <c r="L199" s="15">
        <v>-57766.507783655929</v>
      </c>
      <c r="M199" s="15">
        <v>-3495.7834137248519</v>
      </c>
      <c r="N199" s="15">
        <v>-68943.572162502009</v>
      </c>
      <c r="O199" s="15">
        <v>11177.064378846062</v>
      </c>
      <c r="P199" s="15">
        <f>O199</f>
        <v>11177.064378846062</v>
      </c>
      <c r="Q199" s="15">
        <f>P199-R199-11177</f>
        <v>6.4378846062027151E-2</v>
      </c>
      <c r="R199" s="36">
        <v>0</v>
      </c>
      <c r="S199" s="15">
        <f t="shared" si="9"/>
        <v>6.4378846062027151E-2</v>
      </c>
      <c r="T199" s="16"/>
      <c r="U199" s="16"/>
    </row>
    <row r="200" spans="1:21" x14ac:dyDescent="0.25">
      <c r="A200" s="16" t="s">
        <v>37</v>
      </c>
      <c r="B200" s="16" t="s">
        <v>265</v>
      </c>
      <c r="C200" s="16" t="s">
        <v>266</v>
      </c>
      <c r="D200" s="16" t="s">
        <v>100</v>
      </c>
      <c r="E200" s="16" t="s">
        <v>101</v>
      </c>
      <c r="F200" s="16" t="s">
        <v>148</v>
      </c>
      <c r="G200" s="16" t="s">
        <v>149</v>
      </c>
      <c r="H200" s="16" t="s">
        <v>85</v>
      </c>
      <c r="I200" s="16" t="s">
        <v>40</v>
      </c>
      <c r="J200" s="16" t="s">
        <v>38</v>
      </c>
      <c r="K200" s="16" t="s">
        <v>293</v>
      </c>
      <c r="L200" s="15">
        <v>-770614.03007347696</v>
      </c>
      <c r="M200" s="15">
        <v>-41710.510859115784</v>
      </c>
      <c r="N200" s="15">
        <v>-679744.10529919947</v>
      </c>
      <c r="O200" s="15">
        <v>-90869.924774277606</v>
      </c>
      <c r="P200" s="15">
        <v>-90869.924774277606</v>
      </c>
      <c r="Q200" s="15">
        <f t="shared" si="8"/>
        <v>-90869.924774277606</v>
      </c>
      <c r="R200" s="36">
        <v>0</v>
      </c>
      <c r="S200" s="15">
        <f t="shared" si="9"/>
        <v>-90869.924774277606</v>
      </c>
      <c r="T200" s="16"/>
      <c r="U200" s="16"/>
    </row>
    <row r="201" spans="1:21" x14ac:dyDescent="0.25">
      <c r="A201" s="16" t="s">
        <v>37</v>
      </c>
      <c r="B201" s="16" t="s">
        <v>257</v>
      </c>
      <c r="C201" s="16" t="s">
        <v>258</v>
      </c>
      <c r="D201" s="16" t="s">
        <v>100</v>
      </c>
      <c r="E201" s="16" t="s">
        <v>101</v>
      </c>
      <c r="F201" s="16" t="s">
        <v>148</v>
      </c>
      <c r="G201" s="16" t="s">
        <v>149</v>
      </c>
      <c r="H201" s="16" t="s">
        <v>85</v>
      </c>
      <c r="I201" s="16" t="s">
        <v>40</v>
      </c>
      <c r="J201" s="16" t="s">
        <v>38</v>
      </c>
      <c r="K201" s="16" t="s">
        <v>293</v>
      </c>
      <c r="L201" s="15">
        <v>-240185.23504173156</v>
      </c>
      <c r="M201" s="15">
        <v>-46789.206696675668</v>
      </c>
      <c r="N201" s="15">
        <v>-79018.020347550002</v>
      </c>
      <c r="O201" s="15">
        <v>-161167.21469418157</v>
      </c>
      <c r="P201" s="15">
        <v>-161167.21469418157</v>
      </c>
      <c r="Q201" s="15">
        <f>P201-R201+P199</f>
        <v>-149990.15031533552</v>
      </c>
      <c r="R201" s="36">
        <v>0</v>
      </c>
      <c r="S201" s="15">
        <f t="shared" si="9"/>
        <v>-149990.15031533552</v>
      </c>
      <c r="T201" s="16"/>
      <c r="U201" s="26"/>
    </row>
    <row r="202" spans="1:21" x14ac:dyDescent="0.25">
      <c r="A202" s="16" t="s">
        <v>37</v>
      </c>
      <c r="B202" s="16" t="s">
        <v>269</v>
      </c>
      <c r="C202" s="16" t="s">
        <v>270</v>
      </c>
      <c r="D202" s="16" t="s">
        <v>100</v>
      </c>
      <c r="E202" s="16" t="s">
        <v>101</v>
      </c>
      <c r="F202" s="16" t="s">
        <v>148</v>
      </c>
      <c r="G202" s="16" t="s">
        <v>149</v>
      </c>
      <c r="H202" s="16" t="s">
        <v>85</v>
      </c>
      <c r="I202" s="16" t="s">
        <v>40</v>
      </c>
      <c r="J202" s="16" t="s">
        <v>130</v>
      </c>
      <c r="K202" s="16" t="s">
        <v>131</v>
      </c>
      <c r="L202" s="15">
        <v>-2983.7500000103014</v>
      </c>
      <c r="M202" s="15">
        <v>-2983.7500000103014</v>
      </c>
      <c r="N202" s="15">
        <v>0</v>
      </c>
      <c r="O202" s="15">
        <v>-2983.7500000103014</v>
      </c>
      <c r="P202" s="15">
        <v>-2983.7500000103014</v>
      </c>
      <c r="Q202" s="15">
        <f t="shared" si="8"/>
        <v>-2983.7500000103014</v>
      </c>
      <c r="R202" s="36">
        <v>0</v>
      </c>
      <c r="S202" s="15">
        <f t="shared" si="9"/>
        <v>-2983.7500000103014</v>
      </c>
      <c r="T202" s="16"/>
      <c r="U202" s="16"/>
    </row>
    <row r="203" spans="1:21" x14ac:dyDescent="0.25">
      <c r="A203" s="16" t="s">
        <v>37</v>
      </c>
      <c r="B203" s="16" t="s">
        <v>257</v>
      </c>
      <c r="C203" s="16" t="s">
        <v>258</v>
      </c>
      <c r="D203" s="16" t="s">
        <v>100</v>
      </c>
      <c r="E203" s="16" t="s">
        <v>101</v>
      </c>
      <c r="F203" s="16" t="s">
        <v>148</v>
      </c>
      <c r="G203" s="16" t="s">
        <v>149</v>
      </c>
      <c r="H203" s="16" t="s">
        <v>85</v>
      </c>
      <c r="I203" s="16" t="s">
        <v>40</v>
      </c>
      <c r="J203" s="16" t="s">
        <v>296</v>
      </c>
      <c r="K203" s="16" t="s">
        <v>297</v>
      </c>
      <c r="L203" s="15">
        <v>-1030.4949996789999</v>
      </c>
      <c r="M203" s="15">
        <v>0</v>
      </c>
      <c r="N203" s="15">
        <v>-1030.1521720000001</v>
      </c>
      <c r="O203" s="15">
        <v>-0.3428276789999245</v>
      </c>
      <c r="P203" s="15">
        <v>-0.3428276789999245</v>
      </c>
      <c r="Q203" s="15">
        <f t="shared" si="8"/>
        <v>-0.3428276789999245</v>
      </c>
      <c r="R203" s="36">
        <v>0</v>
      </c>
      <c r="S203" s="15">
        <f t="shared" si="9"/>
        <v>-0.3428276789999245</v>
      </c>
      <c r="T203" s="16"/>
      <c r="U203" s="26"/>
    </row>
    <row r="204" spans="1:21" x14ac:dyDescent="0.25">
      <c r="A204" s="16" t="s">
        <v>37</v>
      </c>
      <c r="B204" s="16" t="s">
        <v>269</v>
      </c>
      <c r="C204" s="16" t="s">
        <v>270</v>
      </c>
      <c r="D204" s="16" t="s">
        <v>100</v>
      </c>
      <c r="E204" s="16" t="s">
        <v>101</v>
      </c>
      <c r="F204" s="16" t="s">
        <v>148</v>
      </c>
      <c r="G204" s="16" t="s">
        <v>149</v>
      </c>
      <c r="H204" s="16" t="s">
        <v>85</v>
      </c>
      <c r="I204" s="16" t="s">
        <v>40</v>
      </c>
      <c r="J204" s="16" t="s">
        <v>124</v>
      </c>
      <c r="K204" s="16" t="s">
        <v>125</v>
      </c>
      <c r="L204" s="15">
        <v>-326.24607971303851</v>
      </c>
      <c r="M204" s="15">
        <v>0</v>
      </c>
      <c r="N204" s="15">
        <v>-245.9699999999998</v>
      </c>
      <c r="O204" s="15">
        <v>-80.276079713038669</v>
      </c>
      <c r="P204" s="15">
        <v>0</v>
      </c>
      <c r="Q204" s="15">
        <f t="shared" si="8"/>
        <v>0</v>
      </c>
      <c r="R204" s="36">
        <v>0</v>
      </c>
      <c r="S204" s="15">
        <f t="shared" si="9"/>
        <v>0</v>
      </c>
      <c r="T204" s="16"/>
      <c r="U204" s="16"/>
    </row>
    <row r="205" spans="1:21" x14ac:dyDescent="0.25">
      <c r="A205" s="16" t="s">
        <v>37</v>
      </c>
      <c r="B205" s="16" t="s">
        <v>265</v>
      </c>
      <c r="C205" s="16" t="s">
        <v>266</v>
      </c>
      <c r="D205" s="16" t="s">
        <v>100</v>
      </c>
      <c r="E205" s="16" t="s">
        <v>101</v>
      </c>
      <c r="F205" s="16" t="s">
        <v>148</v>
      </c>
      <c r="G205" s="16" t="s">
        <v>149</v>
      </c>
      <c r="H205" s="16" t="s">
        <v>85</v>
      </c>
      <c r="I205" s="16" t="s">
        <v>40</v>
      </c>
      <c r="J205" s="16" t="s">
        <v>124</v>
      </c>
      <c r="K205" s="16" t="s">
        <v>125</v>
      </c>
      <c r="L205" s="15">
        <v>-83980.325596490962</v>
      </c>
      <c r="M205" s="15">
        <v>0</v>
      </c>
      <c r="N205" s="15">
        <v>-67381.205501853343</v>
      </c>
      <c r="O205" s="15">
        <v>-16599.120094637619</v>
      </c>
      <c r="P205" s="15">
        <v>0</v>
      </c>
      <c r="Q205" s="15">
        <f t="shared" si="8"/>
        <v>0</v>
      </c>
      <c r="R205" s="36">
        <v>0</v>
      </c>
      <c r="S205" s="15">
        <f t="shared" si="9"/>
        <v>0</v>
      </c>
      <c r="T205" s="16"/>
      <c r="U205" s="16"/>
    </row>
    <row r="206" spans="1:21" x14ac:dyDescent="0.25">
      <c r="A206" s="16" t="s">
        <v>37</v>
      </c>
      <c r="B206" s="16" t="s">
        <v>257</v>
      </c>
      <c r="C206" s="16" t="s">
        <v>258</v>
      </c>
      <c r="D206" s="16" t="s">
        <v>100</v>
      </c>
      <c r="E206" s="16" t="s">
        <v>101</v>
      </c>
      <c r="F206" s="16" t="s">
        <v>148</v>
      </c>
      <c r="G206" s="16" t="s">
        <v>149</v>
      </c>
      <c r="H206" s="16" t="s">
        <v>85</v>
      </c>
      <c r="I206" s="16" t="s">
        <v>40</v>
      </c>
      <c r="J206" s="16" t="s">
        <v>124</v>
      </c>
      <c r="K206" s="16" t="s">
        <v>125</v>
      </c>
      <c r="L206" s="15">
        <v>-49.851300000000002</v>
      </c>
      <c r="M206" s="15">
        <v>0</v>
      </c>
      <c r="N206" s="15">
        <v>-37.775855999999997</v>
      </c>
      <c r="O206" s="15">
        <v>-12.075444000000008</v>
      </c>
      <c r="P206" s="15">
        <v>0</v>
      </c>
      <c r="Q206" s="15">
        <f t="shared" si="8"/>
        <v>0</v>
      </c>
      <c r="R206" s="36">
        <v>0</v>
      </c>
      <c r="S206" s="15">
        <f t="shared" si="9"/>
        <v>0</v>
      </c>
      <c r="T206" s="16"/>
      <c r="U206" s="26"/>
    </row>
    <row r="207" spans="1:21" x14ac:dyDescent="0.25">
      <c r="A207" s="16" t="s">
        <v>37</v>
      </c>
      <c r="B207" s="16" t="s">
        <v>257</v>
      </c>
      <c r="C207" s="16" t="s">
        <v>258</v>
      </c>
      <c r="D207" s="16" t="s">
        <v>100</v>
      </c>
      <c r="E207" s="16" t="s">
        <v>101</v>
      </c>
      <c r="F207" s="16" t="s">
        <v>148</v>
      </c>
      <c r="G207" s="16" t="s">
        <v>149</v>
      </c>
      <c r="H207" s="16" t="s">
        <v>85</v>
      </c>
      <c r="I207" s="16" t="s">
        <v>40</v>
      </c>
      <c r="J207" s="16" t="s">
        <v>298</v>
      </c>
      <c r="K207" s="16" t="s">
        <v>299</v>
      </c>
      <c r="L207" s="15">
        <v>-1809.1078515200006</v>
      </c>
      <c r="M207" s="15">
        <v>-74.14305600000003</v>
      </c>
      <c r="N207" s="15">
        <v>-1151.3489468118</v>
      </c>
      <c r="O207" s="15">
        <v>-657.75890470820059</v>
      </c>
      <c r="P207" s="15">
        <v>-657.75890470820059</v>
      </c>
      <c r="Q207" s="15">
        <f t="shared" ref="Q207:Q270" si="13">P207-R207</f>
        <v>-657.75890470820059</v>
      </c>
      <c r="R207" s="36">
        <v>0</v>
      </c>
      <c r="S207" s="15">
        <f t="shared" ref="S207:S270" si="14">SUM(Q207:R207)</f>
        <v>-657.75890470820059</v>
      </c>
      <c r="T207" s="16"/>
      <c r="U207" s="26"/>
    </row>
    <row r="208" spans="1:21" x14ac:dyDescent="0.25">
      <c r="A208" s="16" t="s">
        <v>37</v>
      </c>
      <c r="B208" s="16" t="s">
        <v>269</v>
      </c>
      <c r="C208" s="16" t="s">
        <v>270</v>
      </c>
      <c r="D208" s="16" t="s">
        <v>100</v>
      </c>
      <c r="E208" s="16" t="s">
        <v>101</v>
      </c>
      <c r="F208" s="16" t="s">
        <v>148</v>
      </c>
      <c r="G208" s="16" t="s">
        <v>149</v>
      </c>
      <c r="H208" s="16" t="s">
        <v>85</v>
      </c>
      <c r="I208" s="16" t="s">
        <v>40</v>
      </c>
      <c r="J208" s="16" t="s">
        <v>132</v>
      </c>
      <c r="K208" s="16" t="s">
        <v>133</v>
      </c>
      <c r="L208" s="15">
        <v>-10752.880439504048</v>
      </c>
      <c r="M208" s="15">
        <v>-10752.880439504048</v>
      </c>
      <c r="N208" s="15">
        <v>-10752.879998038954</v>
      </c>
      <c r="O208" s="15">
        <v>-4.4146508844278287E-4</v>
      </c>
      <c r="P208" s="15">
        <v>0</v>
      </c>
      <c r="Q208" s="15">
        <f t="shared" si="13"/>
        <v>0</v>
      </c>
      <c r="R208" s="36">
        <v>0</v>
      </c>
      <c r="S208" s="15">
        <f t="shared" si="14"/>
        <v>0</v>
      </c>
      <c r="T208" s="16"/>
      <c r="U208" s="16"/>
    </row>
    <row r="209" spans="1:21" x14ac:dyDescent="0.25">
      <c r="A209" s="16" t="s">
        <v>37</v>
      </c>
      <c r="B209" s="16" t="s">
        <v>269</v>
      </c>
      <c r="C209" s="16" t="s">
        <v>270</v>
      </c>
      <c r="D209" s="16" t="s">
        <v>100</v>
      </c>
      <c r="E209" s="16" t="s">
        <v>101</v>
      </c>
      <c r="F209" s="16" t="s">
        <v>148</v>
      </c>
      <c r="G209" s="16" t="s">
        <v>149</v>
      </c>
      <c r="H209" s="16" t="s">
        <v>85</v>
      </c>
      <c r="I209" s="16" t="s">
        <v>40</v>
      </c>
      <c r="J209" s="16" t="s">
        <v>64</v>
      </c>
      <c r="K209" s="16" t="s">
        <v>65</v>
      </c>
      <c r="L209" s="15">
        <v>-18176.756525245553</v>
      </c>
      <c r="M209" s="15">
        <v>0</v>
      </c>
      <c r="N209" s="15">
        <v>-16176.759974366323</v>
      </c>
      <c r="O209" s="15">
        <v>-1999.9965508792291</v>
      </c>
      <c r="P209" s="15">
        <v>-1999.9965508792291</v>
      </c>
      <c r="Q209" s="15">
        <f t="shared" si="13"/>
        <v>-1999.9965508792291</v>
      </c>
      <c r="R209" s="36">
        <v>0</v>
      </c>
      <c r="S209" s="15">
        <f t="shared" si="14"/>
        <v>-1999.9965508792291</v>
      </c>
      <c r="T209" s="16"/>
      <c r="U209" s="16"/>
    </row>
    <row r="210" spans="1:21" x14ac:dyDescent="0.25">
      <c r="A210" s="16" t="s">
        <v>37</v>
      </c>
      <c r="B210" s="16" t="s">
        <v>269</v>
      </c>
      <c r="C210" s="16" t="s">
        <v>270</v>
      </c>
      <c r="D210" s="16" t="s">
        <v>100</v>
      </c>
      <c r="E210" s="16" t="s">
        <v>101</v>
      </c>
      <c r="F210" s="16" t="s">
        <v>148</v>
      </c>
      <c r="G210" s="16" t="s">
        <v>149</v>
      </c>
      <c r="H210" s="16" t="s">
        <v>85</v>
      </c>
      <c r="I210" s="16" t="s">
        <v>40</v>
      </c>
      <c r="J210" s="16" t="s">
        <v>66</v>
      </c>
      <c r="K210" s="16" t="s">
        <v>63</v>
      </c>
      <c r="L210" s="15">
        <v>-9034.5842188553943</v>
      </c>
      <c r="M210" s="15">
        <v>-9034.5842188553943</v>
      </c>
      <c r="N210" s="15">
        <v>-9034.5799923394934</v>
      </c>
      <c r="O210" s="15">
        <v>-4.2265159031558142E-3</v>
      </c>
      <c r="P210" s="15">
        <v>0</v>
      </c>
      <c r="Q210" s="15">
        <f t="shared" si="13"/>
        <v>0</v>
      </c>
      <c r="R210" s="36">
        <v>0</v>
      </c>
      <c r="S210" s="15">
        <f t="shared" si="14"/>
        <v>0</v>
      </c>
      <c r="T210" s="16"/>
      <c r="U210" s="16"/>
    </row>
    <row r="211" spans="1:21" x14ac:dyDescent="0.25">
      <c r="A211" s="16" t="s">
        <v>37</v>
      </c>
      <c r="B211" s="16" t="s">
        <v>257</v>
      </c>
      <c r="C211" s="16" t="s">
        <v>258</v>
      </c>
      <c r="D211" s="16" t="s">
        <v>100</v>
      </c>
      <c r="E211" s="16" t="s">
        <v>101</v>
      </c>
      <c r="F211" s="16" t="s">
        <v>148</v>
      </c>
      <c r="G211" s="16" t="s">
        <v>149</v>
      </c>
      <c r="H211" s="16" t="s">
        <v>85</v>
      </c>
      <c r="I211" s="16" t="s">
        <v>40</v>
      </c>
      <c r="J211" s="16" t="s">
        <v>67</v>
      </c>
      <c r="K211" s="16" t="s">
        <v>68</v>
      </c>
      <c r="L211" s="15">
        <v>-1120</v>
      </c>
      <c r="M211" s="15">
        <v>0</v>
      </c>
      <c r="N211" s="15">
        <v>0</v>
      </c>
      <c r="O211" s="15">
        <v>-1120</v>
      </c>
      <c r="P211" s="15">
        <v>-1120</v>
      </c>
      <c r="Q211" s="15">
        <f t="shared" si="13"/>
        <v>-1120</v>
      </c>
      <c r="R211" s="36">
        <v>0</v>
      </c>
      <c r="S211" s="15">
        <f t="shared" si="14"/>
        <v>-1120</v>
      </c>
      <c r="T211" s="16"/>
      <c r="U211" s="26"/>
    </row>
    <row r="212" spans="1:21" x14ac:dyDescent="0.25">
      <c r="A212" s="16" t="s">
        <v>37</v>
      </c>
      <c r="B212" s="16" t="s">
        <v>269</v>
      </c>
      <c r="C212" s="16" t="s">
        <v>270</v>
      </c>
      <c r="D212" s="16" t="s">
        <v>100</v>
      </c>
      <c r="E212" s="16" t="s">
        <v>101</v>
      </c>
      <c r="F212" s="16" t="s">
        <v>148</v>
      </c>
      <c r="G212" s="16" t="s">
        <v>149</v>
      </c>
      <c r="H212" s="16" t="s">
        <v>85</v>
      </c>
      <c r="I212" s="16" t="s">
        <v>40</v>
      </c>
      <c r="J212" s="16" t="s">
        <v>69</v>
      </c>
      <c r="K212" s="16" t="s">
        <v>70</v>
      </c>
      <c r="L212" s="15">
        <v>-273.84680096071338</v>
      </c>
      <c r="M212" s="15">
        <v>-273.84680096071338</v>
      </c>
      <c r="N212" s="15">
        <v>-273.84999951406212</v>
      </c>
      <c r="O212" s="15">
        <v>3.198553348688904E-3</v>
      </c>
      <c r="P212" s="15">
        <v>0</v>
      </c>
      <c r="Q212" s="15">
        <f t="shared" si="13"/>
        <v>0</v>
      </c>
      <c r="R212" s="36">
        <v>0</v>
      </c>
      <c r="S212" s="15">
        <f t="shared" si="14"/>
        <v>0</v>
      </c>
      <c r="T212" s="16"/>
      <c r="U212" s="15">
        <f t="shared" ref="U212:U213" si="15">O212</f>
        <v>3.198553348688904E-3</v>
      </c>
    </row>
    <row r="213" spans="1:21" x14ac:dyDescent="0.25">
      <c r="A213" s="16" t="s">
        <v>37</v>
      </c>
      <c r="B213" s="16" t="s">
        <v>257</v>
      </c>
      <c r="C213" s="16" t="s">
        <v>258</v>
      </c>
      <c r="D213" s="16" t="s">
        <v>100</v>
      </c>
      <c r="E213" s="16" t="s">
        <v>101</v>
      </c>
      <c r="F213" s="16" t="s">
        <v>148</v>
      </c>
      <c r="G213" s="16" t="s">
        <v>149</v>
      </c>
      <c r="H213" s="16" t="s">
        <v>85</v>
      </c>
      <c r="I213" s="16" t="s">
        <v>40</v>
      </c>
      <c r="J213" s="16" t="s">
        <v>69</v>
      </c>
      <c r="K213" s="16" t="s">
        <v>70</v>
      </c>
      <c r="L213" s="15">
        <v>-746.21734599999991</v>
      </c>
      <c r="M213" s="15">
        <v>-746.21734599999991</v>
      </c>
      <c r="N213" s="15">
        <v>-736.77326561999996</v>
      </c>
      <c r="O213" s="15">
        <v>-9.4440803799999458</v>
      </c>
      <c r="P213" s="15">
        <v>0</v>
      </c>
      <c r="Q213" s="15">
        <f t="shared" si="13"/>
        <v>0</v>
      </c>
      <c r="R213" s="36">
        <v>0</v>
      </c>
      <c r="S213" s="15">
        <f t="shared" si="14"/>
        <v>0</v>
      </c>
      <c r="T213" s="16"/>
      <c r="U213" s="15">
        <f t="shared" si="15"/>
        <v>-9.4440803799999458</v>
      </c>
    </row>
    <row r="214" spans="1:21" x14ac:dyDescent="0.25">
      <c r="A214" s="16" t="s">
        <v>37</v>
      </c>
      <c r="B214" s="16" t="s">
        <v>257</v>
      </c>
      <c r="C214" s="16" t="s">
        <v>258</v>
      </c>
      <c r="D214" s="16" t="s">
        <v>100</v>
      </c>
      <c r="E214" s="16" t="s">
        <v>101</v>
      </c>
      <c r="F214" s="16" t="s">
        <v>148</v>
      </c>
      <c r="G214" s="16" t="s">
        <v>149</v>
      </c>
      <c r="H214" s="16" t="s">
        <v>85</v>
      </c>
      <c r="I214" s="16" t="s">
        <v>40</v>
      </c>
      <c r="J214" s="16" t="s">
        <v>136</v>
      </c>
      <c r="K214" s="16" t="s">
        <v>137</v>
      </c>
      <c r="L214" s="15">
        <v>-15150.600000000011</v>
      </c>
      <c r="M214" s="15">
        <v>0</v>
      </c>
      <c r="N214" s="15">
        <v>-15150.6</v>
      </c>
      <c r="O214" s="15">
        <v>-1.0913936421275139E-11</v>
      </c>
      <c r="P214" s="15">
        <v>-1.0913936421275139E-11</v>
      </c>
      <c r="Q214" s="15">
        <f t="shared" si="13"/>
        <v>-1.0913936421275139E-11</v>
      </c>
      <c r="R214" s="36">
        <v>0</v>
      </c>
      <c r="S214" s="15">
        <f t="shared" si="14"/>
        <v>-1.0913936421275139E-11</v>
      </c>
      <c r="T214" s="16"/>
      <c r="U214" s="26"/>
    </row>
    <row r="215" spans="1:21" x14ac:dyDescent="0.25">
      <c r="A215" s="16" t="s">
        <v>37</v>
      </c>
      <c r="B215" s="16" t="s">
        <v>265</v>
      </c>
      <c r="C215" s="16" t="s">
        <v>266</v>
      </c>
      <c r="D215" s="16" t="s">
        <v>100</v>
      </c>
      <c r="E215" s="16" t="s">
        <v>101</v>
      </c>
      <c r="F215" s="16" t="s">
        <v>148</v>
      </c>
      <c r="G215" s="16" t="s">
        <v>149</v>
      </c>
      <c r="H215" s="16" t="s">
        <v>85</v>
      </c>
      <c r="I215" s="16" t="s">
        <v>40</v>
      </c>
      <c r="J215" s="16" t="s">
        <v>138</v>
      </c>
      <c r="K215" s="16" t="s">
        <v>139</v>
      </c>
      <c r="L215" s="15">
        <v>-929.92082489412621</v>
      </c>
      <c r="M215" s="15">
        <v>0</v>
      </c>
      <c r="N215" s="15">
        <v>-929.92082489412621</v>
      </c>
      <c r="O215" s="15">
        <v>-5.6843418860808015E-14</v>
      </c>
      <c r="P215" s="15">
        <v>0</v>
      </c>
      <c r="Q215" s="15">
        <f t="shared" si="13"/>
        <v>0</v>
      </c>
      <c r="R215" s="36">
        <v>0</v>
      </c>
      <c r="S215" s="15">
        <f t="shared" si="14"/>
        <v>0</v>
      </c>
      <c r="T215" s="16"/>
      <c r="U215" s="16"/>
    </row>
    <row r="216" spans="1:21" x14ac:dyDescent="0.25">
      <c r="A216" s="16" t="s">
        <v>37</v>
      </c>
      <c r="B216" s="16" t="s">
        <v>269</v>
      </c>
      <c r="C216" s="16" t="s">
        <v>270</v>
      </c>
      <c r="D216" s="16" t="s">
        <v>100</v>
      </c>
      <c r="E216" s="16" t="s">
        <v>101</v>
      </c>
      <c r="F216" s="16" t="s">
        <v>150</v>
      </c>
      <c r="G216" s="16" t="s">
        <v>151</v>
      </c>
      <c r="H216" s="16" t="s">
        <v>85</v>
      </c>
      <c r="I216" s="16" t="s">
        <v>40</v>
      </c>
      <c r="J216" s="16" t="s">
        <v>38</v>
      </c>
      <c r="K216" s="16" t="s">
        <v>293</v>
      </c>
      <c r="L216" s="15">
        <v>-69311.807689992798</v>
      </c>
      <c r="M216" s="15">
        <v>-1362.9113140377444</v>
      </c>
      <c r="N216" s="15">
        <v>-90516.822132757981</v>
      </c>
      <c r="O216" s="15">
        <v>21205.01444276519</v>
      </c>
      <c r="P216" s="15">
        <f>O216</f>
        <v>21205.01444276519</v>
      </c>
      <c r="Q216" s="15">
        <f>P216-R216-21205</f>
        <v>1.444276519032428E-2</v>
      </c>
      <c r="R216" s="36">
        <v>0</v>
      </c>
      <c r="S216" s="15">
        <f t="shared" si="14"/>
        <v>1.444276519032428E-2</v>
      </c>
      <c r="T216" s="16"/>
      <c r="U216" s="16"/>
    </row>
    <row r="217" spans="1:21" x14ac:dyDescent="0.25">
      <c r="A217" s="16" t="s">
        <v>37</v>
      </c>
      <c r="B217" s="16" t="s">
        <v>265</v>
      </c>
      <c r="C217" s="16" t="s">
        <v>266</v>
      </c>
      <c r="D217" s="16" t="s">
        <v>100</v>
      </c>
      <c r="E217" s="16" t="s">
        <v>101</v>
      </c>
      <c r="F217" s="16" t="s">
        <v>150</v>
      </c>
      <c r="G217" s="16" t="s">
        <v>151</v>
      </c>
      <c r="H217" s="16" t="s">
        <v>85</v>
      </c>
      <c r="I217" s="16" t="s">
        <v>40</v>
      </c>
      <c r="J217" s="16" t="s">
        <v>38</v>
      </c>
      <c r="K217" s="16" t="s">
        <v>293</v>
      </c>
      <c r="L217" s="15">
        <v>-734552.59319608833</v>
      </c>
      <c r="M217" s="15">
        <v>-17355.210336059125</v>
      </c>
      <c r="N217" s="15">
        <v>-681405.83136771293</v>
      </c>
      <c r="O217" s="15">
        <v>-53146.761828375456</v>
      </c>
      <c r="P217" s="15">
        <v>-53146.761828375456</v>
      </c>
      <c r="Q217" s="15">
        <f t="shared" si="13"/>
        <v>-53146.761828375456</v>
      </c>
      <c r="R217" s="36">
        <v>0</v>
      </c>
      <c r="S217" s="15">
        <f t="shared" si="14"/>
        <v>-53146.761828375456</v>
      </c>
      <c r="T217" s="16"/>
      <c r="U217" s="16"/>
    </row>
    <row r="218" spans="1:21" x14ac:dyDescent="0.25">
      <c r="A218" s="16" t="s">
        <v>37</v>
      </c>
      <c r="B218" s="16" t="s">
        <v>257</v>
      </c>
      <c r="C218" s="16" t="s">
        <v>258</v>
      </c>
      <c r="D218" s="16" t="s">
        <v>100</v>
      </c>
      <c r="E218" s="16" t="s">
        <v>101</v>
      </c>
      <c r="F218" s="16" t="s">
        <v>150</v>
      </c>
      <c r="G218" s="16" t="s">
        <v>151</v>
      </c>
      <c r="H218" s="16" t="s">
        <v>85</v>
      </c>
      <c r="I218" s="16" t="s">
        <v>40</v>
      </c>
      <c r="J218" s="16" t="s">
        <v>38</v>
      </c>
      <c r="K218" s="16" t="s">
        <v>293</v>
      </c>
      <c r="L218" s="15">
        <v>-2069203.2258091397</v>
      </c>
      <c r="M218" s="15">
        <v>-368671.95500238927</v>
      </c>
      <c r="N218" s="15">
        <v>-1272670.7156298857</v>
      </c>
      <c r="O218" s="15">
        <v>-796532.51017925376</v>
      </c>
      <c r="P218" s="15">
        <v>-796532.51017925376</v>
      </c>
      <c r="Q218" s="15">
        <f>P218-R218+P216-293500</f>
        <v>-1068827.4957364886</v>
      </c>
      <c r="R218" s="36">
        <v>0</v>
      </c>
      <c r="S218" s="15">
        <f t="shared" si="14"/>
        <v>-1068827.4957364886</v>
      </c>
      <c r="T218" s="16"/>
      <c r="U218" s="26"/>
    </row>
    <row r="219" spans="1:21" x14ac:dyDescent="0.25">
      <c r="A219" s="16" t="s">
        <v>37</v>
      </c>
      <c r="B219" s="16" t="s">
        <v>257</v>
      </c>
      <c r="C219" s="16" t="s">
        <v>258</v>
      </c>
      <c r="D219" s="16" t="s">
        <v>100</v>
      </c>
      <c r="E219" s="16" t="s">
        <v>101</v>
      </c>
      <c r="F219" s="16" t="s">
        <v>150</v>
      </c>
      <c r="G219" s="16" t="s">
        <v>151</v>
      </c>
      <c r="H219" s="16" t="s">
        <v>85</v>
      </c>
      <c r="I219" s="16" t="s">
        <v>40</v>
      </c>
      <c r="J219" s="16" t="s">
        <v>285</v>
      </c>
      <c r="K219" s="16" t="s">
        <v>286</v>
      </c>
      <c r="L219" s="15">
        <v>-7663.1301810000004</v>
      </c>
      <c r="M219" s="15">
        <v>-5997.4810440000001</v>
      </c>
      <c r="N219" s="15">
        <v>-2920.6266059999998</v>
      </c>
      <c r="O219" s="15">
        <v>-4742.5035750000006</v>
      </c>
      <c r="P219" s="15">
        <f>O219</f>
        <v>-4742.5035750000006</v>
      </c>
      <c r="Q219" s="15">
        <f t="shared" si="13"/>
        <v>-3076.8535750000005</v>
      </c>
      <c r="R219" s="36">
        <f>-6069.64+6069.64-1665.65</f>
        <v>-1665.65</v>
      </c>
      <c r="S219" s="15">
        <f t="shared" si="14"/>
        <v>-4742.5035750000006</v>
      </c>
      <c r="T219" s="16"/>
      <c r="U219" s="26"/>
    </row>
    <row r="220" spans="1:21" x14ac:dyDescent="0.25">
      <c r="A220" s="16" t="s">
        <v>37</v>
      </c>
      <c r="B220" s="16" t="s">
        <v>257</v>
      </c>
      <c r="C220" s="16" t="s">
        <v>258</v>
      </c>
      <c r="D220" s="16" t="s">
        <v>100</v>
      </c>
      <c r="E220" s="16" t="s">
        <v>101</v>
      </c>
      <c r="F220" s="16" t="s">
        <v>150</v>
      </c>
      <c r="G220" s="16" t="s">
        <v>151</v>
      </c>
      <c r="H220" s="16" t="s">
        <v>85</v>
      </c>
      <c r="I220" s="16" t="s">
        <v>40</v>
      </c>
      <c r="J220" s="16" t="s">
        <v>142</v>
      </c>
      <c r="K220" s="16" t="s">
        <v>143</v>
      </c>
      <c r="L220" s="15">
        <v>-4258.0300000000007</v>
      </c>
      <c r="M220" s="15">
        <v>0</v>
      </c>
      <c r="N220" s="15">
        <v>0</v>
      </c>
      <c r="O220" s="15">
        <v>-4258.0300000000007</v>
      </c>
      <c r="P220" s="15">
        <v>-4258.0300000000007</v>
      </c>
      <c r="Q220" s="15">
        <f t="shared" si="13"/>
        <v>-4258.0300000000007</v>
      </c>
      <c r="R220" s="36">
        <v>0</v>
      </c>
      <c r="S220" s="15">
        <f t="shared" si="14"/>
        <v>-4258.0300000000007</v>
      </c>
      <c r="T220" s="16"/>
      <c r="U220" s="26"/>
    </row>
    <row r="221" spans="1:21" x14ac:dyDescent="0.25">
      <c r="A221" s="16" t="s">
        <v>37</v>
      </c>
      <c r="B221" s="16" t="s">
        <v>269</v>
      </c>
      <c r="C221" s="16" t="s">
        <v>270</v>
      </c>
      <c r="D221" s="16" t="s">
        <v>100</v>
      </c>
      <c r="E221" s="16" t="s">
        <v>101</v>
      </c>
      <c r="F221" s="16" t="s">
        <v>150</v>
      </c>
      <c r="G221" s="16" t="s">
        <v>151</v>
      </c>
      <c r="H221" s="16" t="s">
        <v>85</v>
      </c>
      <c r="I221" s="16" t="s">
        <v>40</v>
      </c>
      <c r="J221" s="16" t="s">
        <v>130</v>
      </c>
      <c r="K221" s="16" t="s">
        <v>131</v>
      </c>
      <c r="L221" s="15">
        <v>-4177.2000000144217</v>
      </c>
      <c r="M221" s="15">
        <v>-4177.2000000144217</v>
      </c>
      <c r="N221" s="15">
        <v>0</v>
      </c>
      <c r="O221" s="15">
        <v>-4177.2000000144217</v>
      </c>
      <c r="P221" s="15">
        <v>-4177.2000000144217</v>
      </c>
      <c r="Q221" s="15">
        <f t="shared" si="13"/>
        <v>-4177.2000000144217</v>
      </c>
      <c r="R221" s="36">
        <v>0</v>
      </c>
      <c r="S221" s="15">
        <f t="shared" si="14"/>
        <v>-4177.2000000144217</v>
      </c>
      <c r="T221" s="16"/>
      <c r="U221" s="16"/>
    </row>
    <row r="222" spans="1:21" x14ac:dyDescent="0.25">
      <c r="A222" s="16" t="s">
        <v>37</v>
      </c>
      <c r="B222" s="16" t="s">
        <v>257</v>
      </c>
      <c r="C222" s="16" t="s">
        <v>258</v>
      </c>
      <c r="D222" s="16" t="s">
        <v>100</v>
      </c>
      <c r="E222" s="16" t="s">
        <v>101</v>
      </c>
      <c r="F222" s="16" t="s">
        <v>150</v>
      </c>
      <c r="G222" s="16" t="s">
        <v>151</v>
      </c>
      <c r="H222" s="16" t="s">
        <v>85</v>
      </c>
      <c r="I222" s="16" t="s">
        <v>40</v>
      </c>
      <c r="J222" s="16" t="s">
        <v>296</v>
      </c>
      <c r="K222" s="16" t="s">
        <v>297</v>
      </c>
      <c r="L222" s="15">
        <v>-3368.6049847886998</v>
      </c>
      <c r="M222" s="15">
        <v>-954.01709654999979</v>
      </c>
      <c r="N222" s="15">
        <v>-3225.3397880000002</v>
      </c>
      <c r="O222" s="15">
        <v>-143.26519678869965</v>
      </c>
      <c r="P222" s="15">
        <v>-143.26519678869965</v>
      </c>
      <c r="Q222" s="15">
        <f t="shared" si="13"/>
        <v>-143.26519678869965</v>
      </c>
      <c r="R222" s="36">
        <v>0</v>
      </c>
      <c r="S222" s="15">
        <f t="shared" si="14"/>
        <v>-143.26519678869965</v>
      </c>
      <c r="T222" s="16"/>
      <c r="U222" s="26"/>
    </row>
    <row r="223" spans="1:21" x14ac:dyDescent="0.25">
      <c r="A223" s="16" t="s">
        <v>37</v>
      </c>
      <c r="B223" s="16" t="s">
        <v>269</v>
      </c>
      <c r="C223" s="16" t="s">
        <v>270</v>
      </c>
      <c r="D223" s="16" t="s">
        <v>100</v>
      </c>
      <c r="E223" s="16" t="s">
        <v>101</v>
      </c>
      <c r="F223" s="16" t="s">
        <v>150</v>
      </c>
      <c r="G223" s="16" t="s">
        <v>151</v>
      </c>
      <c r="H223" s="16" t="s">
        <v>85</v>
      </c>
      <c r="I223" s="16" t="s">
        <v>40</v>
      </c>
      <c r="J223" s="16" t="s">
        <v>124</v>
      </c>
      <c r="K223" s="16" t="s">
        <v>125</v>
      </c>
      <c r="L223" s="15">
        <v>-437.54948073617271</v>
      </c>
      <c r="M223" s="15">
        <v>0</v>
      </c>
      <c r="N223" s="15">
        <v>-317.11999999999978</v>
      </c>
      <c r="O223" s="15">
        <v>-120.42948073617296</v>
      </c>
      <c r="P223" s="15">
        <v>0</v>
      </c>
      <c r="Q223" s="15">
        <f t="shared" si="13"/>
        <v>0</v>
      </c>
      <c r="R223" s="36">
        <v>0</v>
      </c>
      <c r="S223" s="15">
        <f t="shared" si="14"/>
        <v>0</v>
      </c>
      <c r="T223" s="16"/>
      <c r="U223" s="16"/>
    </row>
    <row r="224" spans="1:21" x14ac:dyDescent="0.25">
      <c r="A224" s="16" t="s">
        <v>37</v>
      </c>
      <c r="B224" s="16" t="s">
        <v>265</v>
      </c>
      <c r="C224" s="16" t="s">
        <v>266</v>
      </c>
      <c r="D224" s="16" t="s">
        <v>100</v>
      </c>
      <c r="E224" s="16" t="s">
        <v>101</v>
      </c>
      <c r="F224" s="16" t="s">
        <v>150</v>
      </c>
      <c r="G224" s="16" t="s">
        <v>151</v>
      </c>
      <c r="H224" s="16" t="s">
        <v>85</v>
      </c>
      <c r="I224" s="16" t="s">
        <v>40</v>
      </c>
      <c r="J224" s="16" t="s">
        <v>124</v>
      </c>
      <c r="K224" s="16" t="s">
        <v>125</v>
      </c>
      <c r="L224" s="15">
        <v>-71972.876027279854</v>
      </c>
      <c r="M224" s="15">
        <v>0</v>
      </c>
      <c r="N224" s="15">
        <v>-57592.170053642207</v>
      </c>
      <c r="O224" s="15">
        <v>-14380.705973637661</v>
      </c>
      <c r="P224" s="15">
        <v>0</v>
      </c>
      <c r="Q224" s="15">
        <f t="shared" si="13"/>
        <v>0</v>
      </c>
      <c r="R224" s="36">
        <v>0</v>
      </c>
      <c r="S224" s="15">
        <f t="shared" si="14"/>
        <v>0</v>
      </c>
      <c r="T224" s="16"/>
      <c r="U224" s="16"/>
    </row>
    <row r="225" spans="1:21" x14ac:dyDescent="0.25">
      <c r="A225" s="16" t="s">
        <v>37</v>
      </c>
      <c r="B225" s="16" t="s">
        <v>257</v>
      </c>
      <c r="C225" s="16" t="s">
        <v>258</v>
      </c>
      <c r="D225" s="16" t="s">
        <v>100</v>
      </c>
      <c r="E225" s="16" t="s">
        <v>101</v>
      </c>
      <c r="F225" s="16" t="s">
        <v>150</v>
      </c>
      <c r="G225" s="16" t="s">
        <v>151</v>
      </c>
      <c r="H225" s="16" t="s">
        <v>85</v>
      </c>
      <c r="I225" s="16" t="s">
        <v>40</v>
      </c>
      <c r="J225" s="16" t="s">
        <v>124</v>
      </c>
      <c r="K225" s="16" t="s">
        <v>125</v>
      </c>
      <c r="L225" s="15">
        <v>-71.282699999999991</v>
      </c>
      <c r="M225" s="15">
        <v>0</v>
      </c>
      <c r="N225" s="15">
        <v>-53.957364000000005</v>
      </c>
      <c r="O225" s="15">
        <v>-17.325335999999986</v>
      </c>
      <c r="P225" s="15">
        <v>0</v>
      </c>
      <c r="Q225" s="15">
        <f t="shared" si="13"/>
        <v>0</v>
      </c>
      <c r="R225" s="36">
        <v>0</v>
      </c>
      <c r="S225" s="15">
        <f t="shared" si="14"/>
        <v>0</v>
      </c>
      <c r="T225" s="16"/>
      <c r="U225" s="26"/>
    </row>
    <row r="226" spans="1:21" x14ac:dyDescent="0.25">
      <c r="A226" s="16" t="s">
        <v>37</v>
      </c>
      <c r="B226" s="16" t="s">
        <v>257</v>
      </c>
      <c r="C226" s="16" t="s">
        <v>258</v>
      </c>
      <c r="D226" s="16" t="s">
        <v>100</v>
      </c>
      <c r="E226" s="16" t="s">
        <v>101</v>
      </c>
      <c r="F226" s="16" t="s">
        <v>150</v>
      </c>
      <c r="G226" s="16" t="s">
        <v>151</v>
      </c>
      <c r="H226" s="16" t="s">
        <v>85</v>
      </c>
      <c r="I226" s="16" t="s">
        <v>40</v>
      </c>
      <c r="J226" s="16" t="s">
        <v>298</v>
      </c>
      <c r="K226" s="16" t="s">
        <v>299</v>
      </c>
      <c r="L226" s="15">
        <v>-4995.7724056200004</v>
      </c>
      <c r="M226" s="15">
        <v>-204.6063180000001</v>
      </c>
      <c r="N226" s="15">
        <v>-3169.145476445</v>
      </c>
      <c r="O226" s="15">
        <v>-1826.6269291750007</v>
      </c>
      <c r="P226" s="15">
        <v>-1826.6269291750007</v>
      </c>
      <c r="Q226" s="15">
        <f t="shared" si="13"/>
        <v>-1826.6269291750007</v>
      </c>
      <c r="R226" s="36">
        <v>0</v>
      </c>
      <c r="S226" s="15">
        <f t="shared" si="14"/>
        <v>-1826.6269291750007</v>
      </c>
      <c r="T226" s="16"/>
      <c r="U226" s="26"/>
    </row>
    <row r="227" spans="1:21" x14ac:dyDescent="0.25">
      <c r="A227" s="16" t="s">
        <v>37</v>
      </c>
      <c r="B227" s="16" t="s">
        <v>269</v>
      </c>
      <c r="C227" s="16" t="s">
        <v>270</v>
      </c>
      <c r="D227" s="16" t="s">
        <v>100</v>
      </c>
      <c r="E227" s="16" t="s">
        <v>101</v>
      </c>
      <c r="F227" s="16" t="s">
        <v>150</v>
      </c>
      <c r="G227" s="16" t="s">
        <v>151</v>
      </c>
      <c r="H227" s="16" t="s">
        <v>85</v>
      </c>
      <c r="I227" s="16" t="s">
        <v>40</v>
      </c>
      <c r="J227" s="16" t="s">
        <v>132</v>
      </c>
      <c r="K227" s="16" t="s">
        <v>133</v>
      </c>
      <c r="L227" s="15">
        <v>-9732.6702180645443</v>
      </c>
      <c r="M227" s="15">
        <v>-9732.6702180645443</v>
      </c>
      <c r="N227" s="15">
        <v>-9732.6699982250157</v>
      </c>
      <c r="O227" s="15">
        <v>-2.1983952956361463E-4</v>
      </c>
      <c r="P227" s="15">
        <v>0</v>
      </c>
      <c r="Q227" s="15">
        <f t="shared" si="13"/>
        <v>0</v>
      </c>
      <c r="R227" s="36">
        <v>0</v>
      </c>
      <c r="S227" s="15">
        <f t="shared" si="14"/>
        <v>0</v>
      </c>
      <c r="T227" s="16"/>
      <c r="U227" s="16"/>
    </row>
    <row r="228" spans="1:21" x14ac:dyDescent="0.25">
      <c r="A228" s="16" t="s">
        <v>37</v>
      </c>
      <c r="B228" s="16" t="s">
        <v>269</v>
      </c>
      <c r="C228" s="16" t="s">
        <v>270</v>
      </c>
      <c r="D228" s="16" t="s">
        <v>100</v>
      </c>
      <c r="E228" s="16" t="s">
        <v>101</v>
      </c>
      <c r="F228" s="16" t="s">
        <v>150</v>
      </c>
      <c r="G228" s="16" t="s">
        <v>151</v>
      </c>
      <c r="H228" s="16" t="s">
        <v>85</v>
      </c>
      <c r="I228" s="16" t="s">
        <v>40</v>
      </c>
      <c r="J228" s="16" t="s">
        <v>64</v>
      </c>
      <c r="K228" s="16" t="s">
        <v>65</v>
      </c>
      <c r="L228" s="15">
        <v>-23328.731160813026</v>
      </c>
      <c r="M228" s="15">
        <v>0</v>
      </c>
      <c r="N228" s="15">
        <v>-21828.729965410221</v>
      </c>
      <c r="O228" s="15">
        <v>-1500.0011954028002</v>
      </c>
      <c r="P228" s="15">
        <v>-1500.0011954028002</v>
      </c>
      <c r="Q228" s="15">
        <f t="shared" si="13"/>
        <v>-1500.0011954028002</v>
      </c>
      <c r="R228" s="36">
        <v>0</v>
      </c>
      <c r="S228" s="15">
        <f t="shared" si="14"/>
        <v>-1500.0011954028002</v>
      </c>
      <c r="T228" s="16"/>
      <c r="U228" s="16"/>
    </row>
    <row r="229" spans="1:21" x14ac:dyDescent="0.25">
      <c r="A229" s="16" t="s">
        <v>37</v>
      </c>
      <c r="B229" s="16" t="s">
        <v>269</v>
      </c>
      <c r="C229" s="16" t="s">
        <v>270</v>
      </c>
      <c r="D229" s="16" t="s">
        <v>100</v>
      </c>
      <c r="E229" s="16" t="s">
        <v>101</v>
      </c>
      <c r="F229" s="16" t="s">
        <v>150</v>
      </c>
      <c r="G229" s="16" t="s">
        <v>151</v>
      </c>
      <c r="H229" s="16" t="s">
        <v>85</v>
      </c>
      <c r="I229" s="16" t="s">
        <v>40</v>
      </c>
      <c r="J229" s="16" t="s">
        <v>66</v>
      </c>
      <c r="K229" s="16" t="s">
        <v>63</v>
      </c>
      <c r="L229" s="15">
        <v>-8781.4482000692387</v>
      </c>
      <c r="M229" s="15">
        <v>-8781.4482000692387</v>
      </c>
      <c r="N229" s="15">
        <v>-8781.449992554124</v>
      </c>
      <c r="O229" s="15">
        <v>1.7924848862094223E-3</v>
      </c>
      <c r="P229" s="15">
        <v>0</v>
      </c>
      <c r="Q229" s="15">
        <f t="shared" si="13"/>
        <v>0</v>
      </c>
      <c r="R229" s="36">
        <v>0</v>
      </c>
      <c r="S229" s="15">
        <f t="shared" si="14"/>
        <v>0</v>
      </c>
      <c r="T229" s="16"/>
      <c r="U229" s="16"/>
    </row>
    <row r="230" spans="1:21" x14ac:dyDescent="0.25">
      <c r="A230" s="16" t="s">
        <v>37</v>
      </c>
      <c r="B230" s="16" t="s">
        <v>257</v>
      </c>
      <c r="C230" s="16" t="s">
        <v>258</v>
      </c>
      <c r="D230" s="16" t="s">
        <v>100</v>
      </c>
      <c r="E230" s="16" t="s">
        <v>101</v>
      </c>
      <c r="F230" s="16" t="s">
        <v>150</v>
      </c>
      <c r="G230" s="16" t="s">
        <v>151</v>
      </c>
      <c r="H230" s="16" t="s">
        <v>85</v>
      </c>
      <c r="I230" s="16" t="s">
        <v>40</v>
      </c>
      <c r="J230" s="16" t="s">
        <v>67</v>
      </c>
      <c r="K230" s="16" t="s">
        <v>68</v>
      </c>
      <c r="L230" s="15">
        <v>-2820</v>
      </c>
      <c r="M230" s="15">
        <v>0</v>
      </c>
      <c r="N230" s="15">
        <v>0</v>
      </c>
      <c r="O230" s="15">
        <v>-2820</v>
      </c>
      <c r="P230" s="15">
        <v>-2820</v>
      </c>
      <c r="Q230" s="15">
        <f t="shared" si="13"/>
        <v>-2820</v>
      </c>
      <c r="R230" s="36">
        <v>0</v>
      </c>
      <c r="S230" s="15">
        <f t="shared" si="14"/>
        <v>-2820</v>
      </c>
      <c r="T230" s="16"/>
      <c r="U230" s="26"/>
    </row>
    <row r="231" spans="1:21" x14ac:dyDescent="0.25">
      <c r="A231" s="16" t="s">
        <v>37</v>
      </c>
      <c r="B231" s="16" t="s">
        <v>269</v>
      </c>
      <c r="C231" s="16" t="s">
        <v>270</v>
      </c>
      <c r="D231" s="16" t="s">
        <v>100</v>
      </c>
      <c r="E231" s="16" t="s">
        <v>101</v>
      </c>
      <c r="F231" s="16" t="s">
        <v>150</v>
      </c>
      <c r="G231" s="16" t="s">
        <v>151</v>
      </c>
      <c r="H231" s="16" t="s">
        <v>85</v>
      </c>
      <c r="I231" s="16" t="s">
        <v>40</v>
      </c>
      <c r="J231" s="16" t="s">
        <v>69</v>
      </c>
      <c r="K231" s="16" t="s">
        <v>70</v>
      </c>
      <c r="L231" s="15">
        <v>-323.46823602022323</v>
      </c>
      <c r="M231" s="15">
        <v>-323.46823602022323</v>
      </c>
      <c r="N231" s="15">
        <v>-323.46999942601292</v>
      </c>
      <c r="O231" s="15">
        <v>1.7634057897666366E-3</v>
      </c>
      <c r="P231" s="15">
        <v>0</v>
      </c>
      <c r="Q231" s="15">
        <f t="shared" si="13"/>
        <v>0</v>
      </c>
      <c r="R231" s="36">
        <v>0</v>
      </c>
      <c r="S231" s="15">
        <f t="shared" si="14"/>
        <v>0</v>
      </c>
      <c r="T231" s="16"/>
      <c r="U231" s="15">
        <f t="shared" ref="U231:U232" si="16">O231</f>
        <v>1.7634057897666366E-3</v>
      </c>
    </row>
    <row r="232" spans="1:21" x14ac:dyDescent="0.25">
      <c r="A232" s="16" t="s">
        <v>37</v>
      </c>
      <c r="B232" s="16" t="s">
        <v>257</v>
      </c>
      <c r="C232" s="16" t="s">
        <v>258</v>
      </c>
      <c r="D232" s="16" t="s">
        <v>100</v>
      </c>
      <c r="E232" s="16" t="s">
        <v>101</v>
      </c>
      <c r="F232" s="16" t="s">
        <v>150</v>
      </c>
      <c r="G232" s="16" t="s">
        <v>151</v>
      </c>
      <c r="H232" s="16" t="s">
        <v>85</v>
      </c>
      <c r="I232" s="16" t="s">
        <v>40</v>
      </c>
      <c r="J232" s="16" t="s">
        <v>69</v>
      </c>
      <c r="K232" s="16" t="s">
        <v>70</v>
      </c>
      <c r="L232" s="15">
        <v>-1881.2202</v>
      </c>
      <c r="M232" s="15">
        <v>-1881.2202</v>
      </c>
      <c r="N232" s="15">
        <v>-1857.4115940000002</v>
      </c>
      <c r="O232" s="15">
        <v>-23.808605999999699</v>
      </c>
      <c r="P232" s="15">
        <v>0</v>
      </c>
      <c r="Q232" s="15">
        <f t="shared" si="13"/>
        <v>0</v>
      </c>
      <c r="R232" s="36">
        <v>0</v>
      </c>
      <c r="S232" s="15">
        <f t="shared" si="14"/>
        <v>0</v>
      </c>
      <c r="T232" s="16"/>
      <c r="U232" s="15">
        <f t="shared" si="16"/>
        <v>-23.808605999999699</v>
      </c>
    </row>
    <row r="233" spans="1:21" x14ac:dyDescent="0.25">
      <c r="A233" s="16" t="s">
        <v>37</v>
      </c>
      <c r="B233" s="16" t="s">
        <v>257</v>
      </c>
      <c r="C233" s="16" t="s">
        <v>258</v>
      </c>
      <c r="D233" s="16" t="s">
        <v>100</v>
      </c>
      <c r="E233" s="16" t="s">
        <v>101</v>
      </c>
      <c r="F233" s="16" t="s">
        <v>150</v>
      </c>
      <c r="G233" s="16" t="s">
        <v>151</v>
      </c>
      <c r="H233" s="16" t="s">
        <v>85</v>
      </c>
      <c r="I233" s="16" t="s">
        <v>40</v>
      </c>
      <c r="J233" s="16" t="s">
        <v>136</v>
      </c>
      <c r="K233" s="16" t="s">
        <v>137</v>
      </c>
      <c r="L233" s="15">
        <v>-21618.400000000012</v>
      </c>
      <c r="M233" s="15">
        <v>0</v>
      </c>
      <c r="N233" s="15">
        <v>-21618.400000000009</v>
      </c>
      <c r="O233" s="15">
        <v>-3.637978807091713E-12</v>
      </c>
      <c r="P233" s="15">
        <v>-3.637978807091713E-12</v>
      </c>
      <c r="Q233" s="15">
        <f t="shared" si="13"/>
        <v>-3.637978807091713E-12</v>
      </c>
      <c r="R233" s="36">
        <v>0</v>
      </c>
      <c r="S233" s="15">
        <f t="shared" si="14"/>
        <v>-3.637978807091713E-12</v>
      </c>
      <c r="T233" s="16"/>
      <c r="U233" s="26"/>
    </row>
    <row r="234" spans="1:21" x14ac:dyDescent="0.25">
      <c r="A234" s="16" t="s">
        <v>37</v>
      </c>
      <c r="B234" s="16" t="s">
        <v>265</v>
      </c>
      <c r="C234" s="16" t="s">
        <v>266</v>
      </c>
      <c r="D234" s="16" t="s">
        <v>100</v>
      </c>
      <c r="E234" s="16" t="s">
        <v>101</v>
      </c>
      <c r="F234" s="16" t="s">
        <v>150</v>
      </c>
      <c r="G234" s="16" t="s">
        <v>151</v>
      </c>
      <c r="H234" s="16" t="s">
        <v>85</v>
      </c>
      <c r="I234" s="16" t="s">
        <v>40</v>
      </c>
      <c r="J234" s="16" t="s">
        <v>138</v>
      </c>
      <c r="K234" s="16" t="s">
        <v>139</v>
      </c>
      <c r="L234" s="15">
        <v>-794.82336849304261</v>
      </c>
      <c r="M234" s="15">
        <v>0</v>
      </c>
      <c r="N234" s="15">
        <v>-794.82336849304261</v>
      </c>
      <c r="O234" s="15">
        <v>5.6843418860808015E-14</v>
      </c>
      <c r="P234" s="15">
        <v>0</v>
      </c>
      <c r="Q234" s="15">
        <f t="shared" si="13"/>
        <v>0</v>
      </c>
      <c r="R234" s="36">
        <v>0</v>
      </c>
      <c r="S234" s="15">
        <f t="shared" si="14"/>
        <v>0</v>
      </c>
      <c r="T234" s="16"/>
      <c r="U234" s="16"/>
    </row>
    <row r="235" spans="1:21" x14ac:dyDescent="0.25">
      <c r="A235" s="16" t="s">
        <v>37</v>
      </c>
      <c r="B235" s="16" t="s">
        <v>265</v>
      </c>
      <c r="C235" s="16" t="s">
        <v>266</v>
      </c>
      <c r="D235" s="16" t="s">
        <v>100</v>
      </c>
      <c r="E235" s="16" t="s">
        <v>101</v>
      </c>
      <c r="F235" s="16" t="s">
        <v>152</v>
      </c>
      <c r="G235" s="16" t="s">
        <v>153</v>
      </c>
      <c r="H235" s="16" t="s">
        <v>85</v>
      </c>
      <c r="I235" s="16" t="s">
        <v>40</v>
      </c>
      <c r="J235" s="16" t="s">
        <v>38</v>
      </c>
      <c r="K235" s="16" t="s">
        <v>293</v>
      </c>
      <c r="L235" s="15">
        <v>-1829082.8456786238</v>
      </c>
      <c r="M235" s="15">
        <v>-77699.741581296083</v>
      </c>
      <c r="N235" s="15">
        <v>-1678997.8264354237</v>
      </c>
      <c r="O235" s="15">
        <v>-150085.01924319984</v>
      </c>
      <c r="P235" s="15">
        <v>-150085.01924319984</v>
      </c>
      <c r="Q235" s="15">
        <f t="shared" si="13"/>
        <v>-150085.01924319984</v>
      </c>
      <c r="R235" s="36">
        <v>0</v>
      </c>
      <c r="S235" s="15">
        <f t="shared" si="14"/>
        <v>-150085.01924319984</v>
      </c>
      <c r="T235" s="16"/>
      <c r="U235" s="16"/>
    </row>
    <row r="236" spans="1:21" x14ac:dyDescent="0.25">
      <c r="A236" s="16" t="s">
        <v>37</v>
      </c>
      <c r="B236" s="16" t="s">
        <v>261</v>
      </c>
      <c r="C236" s="16" t="s">
        <v>262</v>
      </c>
      <c r="D236" s="16" t="s">
        <v>100</v>
      </c>
      <c r="E236" s="16" t="s">
        <v>101</v>
      </c>
      <c r="F236" s="16" t="s">
        <v>152</v>
      </c>
      <c r="G236" s="16" t="s">
        <v>153</v>
      </c>
      <c r="H236" s="16" t="s">
        <v>85</v>
      </c>
      <c r="I236" s="16" t="s">
        <v>40</v>
      </c>
      <c r="J236" s="16" t="s">
        <v>38</v>
      </c>
      <c r="K236" s="16" t="s">
        <v>293</v>
      </c>
      <c r="L236" s="15">
        <v>-746803.93842890649</v>
      </c>
      <c r="M236" s="15">
        <v>-223976.67003999994</v>
      </c>
      <c r="N236" s="15">
        <v>-567660.53361837589</v>
      </c>
      <c r="O236" s="15">
        <v>-179143.40481053063</v>
      </c>
      <c r="P236" s="15">
        <v>-179143.40481053063</v>
      </c>
      <c r="Q236" s="15">
        <f t="shared" si="13"/>
        <v>-179143.40481053063</v>
      </c>
      <c r="R236" s="36">
        <v>0</v>
      </c>
      <c r="S236" s="15">
        <f t="shared" si="14"/>
        <v>-179143.40481053063</v>
      </c>
      <c r="T236" s="16"/>
      <c r="U236" s="16"/>
    </row>
    <row r="237" spans="1:21" x14ac:dyDescent="0.25">
      <c r="A237" s="16" t="s">
        <v>37</v>
      </c>
      <c r="B237" s="16" t="s">
        <v>269</v>
      </c>
      <c r="C237" s="16" t="s">
        <v>270</v>
      </c>
      <c r="D237" s="16" t="s">
        <v>100</v>
      </c>
      <c r="E237" s="16" t="s">
        <v>101</v>
      </c>
      <c r="F237" s="16" t="s">
        <v>152</v>
      </c>
      <c r="G237" s="16" t="s">
        <v>153</v>
      </c>
      <c r="H237" s="16" t="s">
        <v>85</v>
      </c>
      <c r="I237" s="16" t="s">
        <v>40</v>
      </c>
      <c r="J237" s="16" t="s">
        <v>38</v>
      </c>
      <c r="K237" s="16" t="s">
        <v>293</v>
      </c>
      <c r="L237" s="15">
        <v>-363379.75326868257</v>
      </c>
      <c r="M237" s="15">
        <v>-29823.783966945608</v>
      </c>
      <c r="N237" s="15">
        <v>-359047.74566667841</v>
      </c>
      <c r="O237" s="15">
        <v>-4332.0076020042325</v>
      </c>
      <c r="P237" s="15">
        <v>-4332.0076020042325</v>
      </c>
      <c r="Q237" s="15">
        <f>P237-R237+4332</f>
        <v>-7.6020042324671522E-3</v>
      </c>
      <c r="R237" s="36">
        <v>0</v>
      </c>
      <c r="S237" s="15">
        <f t="shared" si="14"/>
        <v>-7.6020042324671522E-3</v>
      </c>
      <c r="T237" s="16"/>
      <c r="U237" s="16"/>
    </row>
    <row r="238" spans="1:21" x14ac:dyDescent="0.25">
      <c r="A238" s="16" t="s">
        <v>37</v>
      </c>
      <c r="B238" s="16" t="s">
        <v>257</v>
      </c>
      <c r="C238" s="16" t="s">
        <v>258</v>
      </c>
      <c r="D238" s="16" t="s">
        <v>100</v>
      </c>
      <c r="E238" s="16" t="s">
        <v>101</v>
      </c>
      <c r="F238" s="16" t="s">
        <v>152</v>
      </c>
      <c r="G238" s="16" t="s">
        <v>153</v>
      </c>
      <c r="H238" s="16" t="s">
        <v>85</v>
      </c>
      <c r="I238" s="16" t="s">
        <v>40</v>
      </c>
      <c r="J238" s="16" t="s">
        <v>38</v>
      </c>
      <c r="K238" s="16" t="s">
        <v>293</v>
      </c>
      <c r="L238" s="15">
        <v>-1481090.3239296242</v>
      </c>
      <c r="M238" s="15">
        <v>-235722.59876561217</v>
      </c>
      <c r="N238" s="15">
        <v>-964339.42451607459</v>
      </c>
      <c r="O238" s="15">
        <v>-516750.89941354992</v>
      </c>
      <c r="P238" s="15">
        <v>-516750.89941354992</v>
      </c>
      <c r="Q238" s="15">
        <f>P238-R238+P237</f>
        <v>-521082.90701555414</v>
      </c>
      <c r="R238" s="36">
        <v>0</v>
      </c>
      <c r="S238" s="15">
        <f t="shared" si="14"/>
        <v>-521082.90701555414</v>
      </c>
      <c r="T238" s="16"/>
      <c r="U238" s="26"/>
    </row>
    <row r="239" spans="1:21" x14ac:dyDescent="0.25">
      <c r="A239" s="16" t="s">
        <v>37</v>
      </c>
      <c r="B239" s="16" t="s">
        <v>257</v>
      </c>
      <c r="C239" s="16" t="s">
        <v>258</v>
      </c>
      <c r="D239" s="16" t="s">
        <v>100</v>
      </c>
      <c r="E239" s="16" t="s">
        <v>101</v>
      </c>
      <c r="F239" s="16" t="s">
        <v>152</v>
      </c>
      <c r="G239" s="16" t="s">
        <v>153</v>
      </c>
      <c r="H239" s="16" t="s">
        <v>85</v>
      </c>
      <c r="I239" s="16" t="s">
        <v>40</v>
      </c>
      <c r="J239" s="16" t="s">
        <v>142</v>
      </c>
      <c r="K239" s="16" t="s">
        <v>143</v>
      </c>
      <c r="L239" s="15">
        <v>-4258.0300000000007</v>
      </c>
      <c r="M239" s="15">
        <v>0</v>
      </c>
      <c r="N239" s="15">
        <v>0</v>
      </c>
      <c r="O239" s="15">
        <v>-4258.0300000000007</v>
      </c>
      <c r="P239" s="15">
        <v>-4258.0300000000007</v>
      </c>
      <c r="Q239" s="15">
        <f t="shared" si="13"/>
        <v>-4258.0300000000007</v>
      </c>
      <c r="R239" s="36">
        <v>0</v>
      </c>
      <c r="S239" s="15">
        <f t="shared" si="14"/>
        <v>-4258.0300000000007</v>
      </c>
      <c r="T239" s="16"/>
      <c r="U239" s="26"/>
    </row>
    <row r="240" spans="1:21" x14ac:dyDescent="0.25">
      <c r="A240" s="16" t="s">
        <v>37</v>
      </c>
      <c r="B240" s="16" t="s">
        <v>269</v>
      </c>
      <c r="C240" s="16" t="s">
        <v>270</v>
      </c>
      <c r="D240" s="16" t="s">
        <v>100</v>
      </c>
      <c r="E240" s="16" t="s">
        <v>101</v>
      </c>
      <c r="F240" s="16" t="s">
        <v>152</v>
      </c>
      <c r="G240" s="16" t="s">
        <v>153</v>
      </c>
      <c r="H240" s="16" t="s">
        <v>85</v>
      </c>
      <c r="I240" s="16" t="s">
        <v>40</v>
      </c>
      <c r="J240" s="16" t="s">
        <v>130</v>
      </c>
      <c r="K240" s="16" t="s">
        <v>131</v>
      </c>
      <c r="L240" s="15">
        <v>-11544.270000039858</v>
      </c>
      <c r="M240" s="15">
        <v>-11544.270000039858</v>
      </c>
      <c r="N240" s="15">
        <v>0</v>
      </c>
      <c r="O240" s="15">
        <v>-11544.270000039858</v>
      </c>
      <c r="P240" s="15">
        <v>-11544.270000039858</v>
      </c>
      <c r="Q240" s="15">
        <f t="shared" si="13"/>
        <v>-11544.270000039858</v>
      </c>
      <c r="R240" s="36">
        <v>0</v>
      </c>
      <c r="S240" s="15">
        <f t="shared" si="14"/>
        <v>-11544.270000039858</v>
      </c>
      <c r="T240" s="16"/>
      <c r="U240" s="16"/>
    </row>
    <row r="241" spans="1:21" x14ac:dyDescent="0.25">
      <c r="A241" s="16" t="s">
        <v>37</v>
      </c>
      <c r="B241" s="16" t="s">
        <v>257</v>
      </c>
      <c r="C241" s="16" t="s">
        <v>258</v>
      </c>
      <c r="D241" s="16" t="s">
        <v>100</v>
      </c>
      <c r="E241" s="16" t="s">
        <v>101</v>
      </c>
      <c r="F241" s="16" t="s">
        <v>152</v>
      </c>
      <c r="G241" s="16" t="s">
        <v>153</v>
      </c>
      <c r="H241" s="16" t="s">
        <v>85</v>
      </c>
      <c r="I241" s="16" t="s">
        <v>40</v>
      </c>
      <c r="J241" s="16" t="s">
        <v>296</v>
      </c>
      <c r="K241" s="16" t="s">
        <v>297</v>
      </c>
      <c r="L241" s="15">
        <v>-839.23499958699995</v>
      </c>
      <c r="M241" s="15">
        <v>0</v>
      </c>
      <c r="N241" s="15">
        <v>-838.79391599999997</v>
      </c>
      <c r="O241" s="15">
        <v>-0.44108358699994454</v>
      </c>
      <c r="P241" s="15">
        <v>-0.44108358699994454</v>
      </c>
      <c r="Q241" s="15">
        <f t="shared" si="13"/>
        <v>-0.44108358699994454</v>
      </c>
      <c r="R241" s="36">
        <v>0</v>
      </c>
      <c r="S241" s="15">
        <f t="shared" si="14"/>
        <v>-0.44108358699994454</v>
      </c>
      <c r="T241" s="16"/>
      <c r="U241" s="26"/>
    </row>
    <row r="242" spans="1:21" x14ac:dyDescent="0.25">
      <c r="A242" s="16" t="s">
        <v>37</v>
      </c>
      <c r="B242" s="16" t="s">
        <v>269</v>
      </c>
      <c r="C242" s="16" t="s">
        <v>270</v>
      </c>
      <c r="D242" s="16" t="s">
        <v>100</v>
      </c>
      <c r="E242" s="16" t="s">
        <v>101</v>
      </c>
      <c r="F242" s="16" t="s">
        <v>152</v>
      </c>
      <c r="G242" s="16" t="s">
        <v>153</v>
      </c>
      <c r="H242" s="16" t="s">
        <v>85</v>
      </c>
      <c r="I242" s="16" t="s">
        <v>40</v>
      </c>
      <c r="J242" s="16" t="s">
        <v>124</v>
      </c>
      <c r="K242" s="16" t="s">
        <v>125</v>
      </c>
      <c r="L242" s="15">
        <v>-949.80248149742965</v>
      </c>
      <c r="M242" s="15">
        <v>0</v>
      </c>
      <c r="N242" s="15">
        <v>-673.51999999999941</v>
      </c>
      <c r="O242" s="15">
        <v>-276.2824814974303</v>
      </c>
      <c r="P242" s="15">
        <v>0</v>
      </c>
      <c r="Q242" s="15">
        <f t="shared" si="13"/>
        <v>0</v>
      </c>
      <c r="R242" s="36">
        <v>0</v>
      </c>
      <c r="S242" s="15">
        <f t="shared" si="14"/>
        <v>0</v>
      </c>
      <c r="T242" s="16"/>
      <c r="U242" s="16"/>
    </row>
    <row r="243" spans="1:21" x14ac:dyDescent="0.25">
      <c r="A243" s="16" t="s">
        <v>37</v>
      </c>
      <c r="B243" s="16" t="s">
        <v>265</v>
      </c>
      <c r="C243" s="16" t="s">
        <v>266</v>
      </c>
      <c r="D243" s="16" t="s">
        <v>100</v>
      </c>
      <c r="E243" s="16" t="s">
        <v>101</v>
      </c>
      <c r="F243" s="16" t="s">
        <v>152</v>
      </c>
      <c r="G243" s="16" t="s">
        <v>153</v>
      </c>
      <c r="H243" s="16" t="s">
        <v>85</v>
      </c>
      <c r="I243" s="16" t="s">
        <v>40</v>
      </c>
      <c r="J243" s="16" t="s">
        <v>124</v>
      </c>
      <c r="K243" s="16" t="s">
        <v>125</v>
      </c>
      <c r="L243" s="15">
        <v>-163562.81998895991</v>
      </c>
      <c r="M243" s="15">
        <v>0</v>
      </c>
      <c r="N243" s="15">
        <v>-130944.6944789043</v>
      </c>
      <c r="O243" s="15">
        <v>-32618.125510055565</v>
      </c>
      <c r="P243" s="15">
        <v>0</v>
      </c>
      <c r="Q243" s="15">
        <f t="shared" si="13"/>
        <v>0</v>
      </c>
      <c r="R243" s="36">
        <v>0</v>
      </c>
      <c r="S243" s="15">
        <f t="shared" si="14"/>
        <v>0</v>
      </c>
      <c r="T243" s="16"/>
      <c r="U243" s="16"/>
    </row>
    <row r="244" spans="1:21" x14ac:dyDescent="0.25">
      <c r="A244" s="16" t="s">
        <v>37</v>
      </c>
      <c r="B244" s="16" t="s">
        <v>261</v>
      </c>
      <c r="C244" s="16" t="s">
        <v>262</v>
      </c>
      <c r="D244" s="16" t="s">
        <v>100</v>
      </c>
      <c r="E244" s="16" t="s">
        <v>101</v>
      </c>
      <c r="F244" s="16" t="s">
        <v>152</v>
      </c>
      <c r="G244" s="16" t="s">
        <v>153</v>
      </c>
      <c r="H244" s="16" t="s">
        <v>85</v>
      </c>
      <c r="I244" s="16" t="s">
        <v>40</v>
      </c>
      <c r="J244" s="16" t="s">
        <v>124</v>
      </c>
      <c r="K244" s="16" t="s">
        <v>125</v>
      </c>
      <c r="L244" s="15">
        <v>-29334.954480409997</v>
      </c>
      <c r="M244" s="15">
        <v>0</v>
      </c>
      <c r="N244" s="15">
        <v>-26894.852676074399</v>
      </c>
      <c r="O244" s="15">
        <v>-2440.1018043355971</v>
      </c>
      <c r="P244" s="15">
        <v>0</v>
      </c>
      <c r="Q244" s="15">
        <f t="shared" si="13"/>
        <v>0</v>
      </c>
      <c r="R244" s="36">
        <v>0</v>
      </c>
      <c r="S244" s="15">
        <f t="shared" si="14"/>
        <v>0</v>
      </c>
      <c r="T244" s="16"/>
      <c r="U244" s="16"/>
    </row>
    <row r="245" spans="1:21" x14ac:dyDescent="0.25">
      <c r="A245" s="16" t="s">
        <v>37</v>
      </c>
      <c r="B245" s="16" t="s">
        <v>257</v>
      </c>
      <c r="C245" s="16" t="s">
        <v>258</v>
      </c>
      <c r="D245" s="16" t="s">
        <v>100</v>
      </c>
      <c r="E245" s="16" t="s">
        <v>101</v>
      </c>
      <c r="F245" s="16" t="s">
        <v>152</v>
      </c>
      <c r="G245" s="16" t="s">
        <v>153</v>
      </c>
      <c r="H245" s="16" t="s">
        <v>85</v>
      </c>
      <c r="I245" s="16" t="s">
        <v>40</v>
      </c>
      <c r="J245" s="16" t="s">
        <v>124</v>
      </c>
      <c r="K245" s="16" t="s">
        <v>125</v>
      </c>
      <c r="L245" s="15">
        <v>-64.138899999999992</v>
      </c>
      <c r="M245" s="15">
        <v>0</v>
      </c>
      <c r="N245" s="15">
        <v>-48.544533999999999</v>
      </c>
      <c r="O245" s="15">
        <v>-15.594365999999994</v>
      </c>
      <c r="P245" s="15">
        <v>0</v>
      </c>
      <c r="Q245" s="15">
        <f t="shared" si="13"/>
        <v>0</v>
      </c>
      <c r="R245" s="36">
        <v>0</v>
      </c>
      <c r="S245" s="15">
        <f t="shared" si="14"/>
        <v>0</v>
      </c>
      <c r="T245" s="16"/>
      <c r="U245" s="26"/>
    </row>
    <row r="246" spans="1:21" x14ac:dyDescent="0.25">
      <c r="A246" s="16" t="s">
        <v>37</v>
      </c>
      <c r="B246" s="16" t="s">
        <v>257</v>
      </c>
      <c r="C246" s="16" t="s">
        <v>258</v>
      </c>
      <c r="D246" s="16" t="s">
        <v>100</v>
      </c>
      <c r="E246" s="16" t="s">
        <v>101</v>
      </c>
      <c r="F246" s="16" t="s">
        <v>152</v>
      </c>
      <c r="G246" s="16" t="s">
        <v>153</v>
      </c>
      <c r="H246" s="16" t="s">
        <v>85</v>
      </c>
      <c r="I246" s="16" t="s">
        <v>40</v>
      </c>
      <c r="J246" s="16" t="s">
        <v>298</v>
      </c>
      <c r="K246" s="16" t="s">
        <v>299</v>
      </c>
      <c r="L246" s="15">
        <v>-7148.0240792800014</v>
      </c>
      <c r="M246" s="15">
        <v>-292.65119700000008</v>
      </c>
      <c r="N246" s="15">
        <v>-4536.3700868264004</v>
      </c>
      <c r="O246" s="15">
        <v>-2611.6539924536009</v>
      </c>
      <c r="P246" s="15">
        <v>-2611.6539924536009</v>
      </c>
      <c r="Q246" s="15">
        <f t="shared" si="13"/>
        <v>-2611.6539924536009</v>
      </c>
      <c r="R246" s="36">
        <v>0</v>
      </c>
      <c r="S246" s="15">
        <f t="shared" si="14"/>
        <v>-2611.6539924536009</v>
      </c>
      <c r="T246" s="16"/>
      <c r="U246" s="26"/>
    </row>
    <row r="247" spans="1:21" x14ac:dyDescent="0.25">
      <c r="A247" s="16" t="s">
        <v>37</v>
      </c>
      <c r="B247" s="16" t="s">
        <v>269</v>
      </c>
      <c r="C247" s="16" t="s">
        <v>270</v>
      </c>
      <c r="D247" s="16" t="s">
        <v>100</v>
      </c>
      <c r="E247" s="16" t="s">
        <v>101</v>
      </c>
      <c r="F247" s="16" t="s">
        <v>152</v>
      </c>
      <c r="G247" s="16" t="s">
        <v>153</v>
      </c>
      <c r="H247" s="16" t="s">
        <v>85</v>
      </c>
      <c r="I247" s="16" t="s">
        <v>40</v>
      </c>
      <c r="J247" s="16" t="s">
        <v>132</v>
      </c>
      <c r="K247" s="16" t="s">
        <v>133</v>
      </c>
      <c r="L247" s="15">
        <v>-29384.672839481922</v>
      </c>
      <c r="M247" s="15">
        <v>-29384.672839481922</v>
      </c>
      <c r="N247" s="15">
        <v>-29384.669994641008</v>
      </c>
      <c r="O247" s="15">
        <v>-2.8448409150314546E-3</v>
      </c>
      <c r="P247" s="15">
        <v>0</v>
      </c>
      <c r="Q247" s="15">
        <f t="shared" si="13"/>
        <v>0</v>
      </c>
      <c r="R247" s="36">
        <v>0</v>
      </c>
      <c r="S247" s="15">
        <f t="shared" si="14"/>
        <v>0</v>
      </c>
      <c r="T247" s="16"/>
      <c r="U247" s="16"/>
    </row>
    <row r="248" spans="1:21" x14ac:dyDescent="0.25">
      <c r="A248" s="16" t="s">
        <v>37</v>
      </c>
      <c r="B248" s="16" t="s">
        <v>269</v>
      </c>
      <c r="C248" s="16" t="s">
        <v>270</v>
      </c>
      <c r="D248" s="16" t="s">
        <v>100</v>
      </c>
      <c r="E248" s="16" t="s">
        <v>101</v>
      </c>
      <c r="F248" s="16" t="s">
        <v>152</v>
      </c>
      <c r="G248" s="16" t="s">
        <v>153</v>
      </c>
      <c r="H248" s="16" t="s">
        <v>85</v>
      </c>
      <c r="I248" s="16" t="s">
        <v>40</v>
      </c>
      <c r="J248" s="16" t="s">
        <v>64</v>
      </c>
      <c r="K248" s="16" t="s">
        <v>65</v>
      </c>
      <c r="L248" s="15">
        <v>-96748.544027452706</v>
      </c>
      <c r="M248" s="15">
        <v>0</v>
      </c>
      <c r="N248" s="15">
        <v>-50539.279919915512</v>
      </c>
      <c r="O248" s="15">
        <v>-46209.264107537194</v>
      </c>
      <c r="P248" s="15">
        <v>-46209.264107537194</v>
      </c>
      <c r="Q248" s="15">
        <f t="shared" si="13"/>
        <v>-46209.264107537194</v>
      </c>
      <c r="R248" s="36">
        <v>0</v>
      </c>
      <c r="S248" s="15">
        <f t="shared" si="14"/>
        <v>-46209.264107537194</v>
      </c>
      <c r="T248" s="16"/>
      <c r="U248" s="16"/>
    </row>
    <row r="249" spans="1:21" x14ac:dyDescent="0.25">
      <c r="A249" s="16" t="s">
        <v>37</v>
      </c>
      <c r="B249" s="16" t="s">
        <v>269</v>
      </c>
      <c r="C249" s="16" t="s">
        <v>270</v>
      </c>
      <c r="D249" s="16" t="s">
        <v>100</v>
      </c>
      <c r="E249" s="16" t="s">
        <v>101</v>
      </c>
      <c r="F249" s="16" t="s">
        <v>152</v>
      </c>
      <c r="G249" s="16" t="s">
        <v>153</v>
      </c>
      <c r="H249" s="16" t="s">
        <v>85</v>
      </c>
      <c r="I249" s="16" t="s">
        <v>40</v>
      </c>
      <c r="J249" s="16" t="s">
        <v>66</v>
      </c>
      <c r="K249" s="16" t="s">
        <v>63</v>
      </c>
      <c r="L249" s="15">
        <v>-82361.824552931721</v>
      </c>
      <c r="M249" s="15">
        <v>-82361.824552931721</v>
      </c>
      <c r="N249" s="15">
        <v>-82361.829930164589</v>
      </c>
      <c r="O249" s="15">
        <v>5.3772328683407977E-3</v>
      </c>
      <c r="P249" s="15">
        <v>0</v>
      </c>
      <c r="Q249" s="15">
        <f t="shared" si="13"/>
        <v>0</v>
      </c>
      <c r="R249" s="36">
        <v>0</v>
      </c>
      <c r="S249" s="15">
        <f t="shared" si="14"/>
        <v>0</v>
      </c>
      <c r="T249" s="16"/>
      <c r="U249" s="16"/>
    </row>
    <row r="250" spans="1:21" x14ac:dyDescent="0.25">
      <c r="A250" s="16" t="s">
        <v>37</v>
      </c>
      <c r="B250" s="16" t="s">
        <v>257</v>
      </c>
      <c r="C250" s="16" t="s">
        <v>258</v>
      </c>
      <c r="D250" s="16" t="s">
        <v>100</v>
      </c>
      <c r="E250" s="16" t="s">
        <v>101</v>
      </c>
      <c r="F250" s="16" t="s">
        <v>152</v>
      </c>
      <c r="G250" s="16" t="s">
        <v>153</v>
      </c>
      <c r="H250" s="16" t="s">
        <v>85</v>
      </c>
      <c r="I250" s="16" t="s">
        <v>40</v>
      </c>
      <c r="J250" s="16" t="s">
        <v>67</v>
      </c>
      <c r="K250" s="16" t="s">
        <v>68</v>
      </c>
      <c r="L250" s="15">
        <v>-4050</v>
      </c>
      <c r="M250" s="15">
        <v>0</v>
      </c>
      <c r="N250" s="15">
        <v>0</v>
      </c>
      <c r="O250" s="15">
        <v>-4050</v>
      </c>
      <c r="P250" s="15">
        <v>-4050</v>
      </c>
      <c r="Q250" s="15">
        <f t="shared" si="13"/>
        <v>-4050</v>
      </c>
      <c r="R250" s="36">
        <v>0</v>
      </c>
      <c r="S250" s="15">
        <f t="shared" si="14"/>
        <v>-4050</v>
      </c>
      <c r="T250" s="16"/>
      <c r="U250" s="26"/>
    </row>
    <row r="251" spans="1:21" x14ac:dyDescent="0.25">
      <c r="A251" s="16" t="s">
        <v>37</v>
      </c>
      <c r="B251" s="16" t="s">
        <v>269</v>
      </c>
      <c r="C251" s="16" t="s">
        <v>270</v>
      </c>
      <c r="D251" s="16" t="s">
        <v>100</v>
      </c>
      <c r="E251" s="16" t="s">
        <v>101</v>
      </c>
      <c r="F251" s="16" t="s">
        <v>152</v>
      </c>
      <c r="G251" s="16" t="s">
        <v>153</v>
      </c>
      <c r="H251" s="16" t="s">
        <v>85</v>
      </c>
      <c r="I251" s="16" t="s">
        <v>40</v>
      </c>
      <c r="J251" s="16" t="s">
        <v>69</v>
      </c>
      <c r="K251" s="16" t="s">
        <v>70</v>
      </c>
      <c r="L251" s="15">
        <v>-4559.4121186661223</v>
      </c>
      <c r="M251" s="15">
        <v>-4559.4121186661223</v>
      </c>
      <c r="N251" s="15">
        <v>-4559.3999919094931</v>
      </c>
      <c r="O251" s="15">
        <v>-1.2126756629015745E-2</v>
      </c>
      <c r="P251" s="15">
        <v>0</v>
      </c>
      <c r="Q251" s="15">
        <f t="shared" si="13"/>
        <v>0</v>
      </c>
      <c r="R251" s="36">
        <v>0</v>
      </c>
      <c r="S251" s="15">
        <f t="shared" si="14"/>
        <v>0</v>
      </c>
      <c r="T251" s="16"/>
      <c r="U251" s="15">
        <f t="shared" ref="U251:U253" si="17">O251</f>
        <v>-1.2126756629015745E-2</v>
      </c>
    </row>
    <row r="252" spans="1:21" x14ac:dyDescent="0.25">
      <c r="A252" s="16" t="s">
        <v>37</v>
      </c>
      <c r="B252" s="16" t="s">
        <v>261</v>
      </c>
      <c r="C252" s="16" t="s">
        <v>262</v>
      </c>
      <c r="D252" s="16" t="s">
        <v>100</v>
      </c>
      <c r="E252" s="16" t="s">
        <v>101</v>
      </c>
      <c r="F252" s="16" t="s">
        <v>152</v>
      </c>
      <c r="G252" s="16" t="s">
        <v>153</v>
      </c>
      <c r="H252" s="16" t="s">
        <v>85</v>
      </c>
      <c r="I252" s="16" t="s">
        <v>40</v>
      </c>
      <c r="J252" s="16" t="s">
        <v>69</v>
      </c>
      <c r="K252" s="16" t="s">
        <v>70</v>
      </c>
      <c r="L252" s="15">
        <v>-2614.499999441</v>
      </c>
      <c r="M252" s="15">
        <v>-2614.5</v>
      </c>
      <c r="N252" s="15">
        <v>-2792.2287000000001</v>
      </c>
      <c r="O252" s="15">
        <v>177.72870055899989</v>
      </c>
      <c r="P252" s="15">
        <v>0</v>
      </c>
      <c r="Q252" s="15">
        <f t="shared" si="13"/>
        <v>0</v>
      </c>
      <c r="R252" s="36">
        <v>0</v>
      </c>
      <c r="S252" s="15">
        <f t="shared" si="14"/>
        <v>0</v>
      </c>
      <c r="T252" s="16"/>
      <c r="U252" s="15">
        <f t="shared" si="17"/>
        <v>177.72870055899989</v>
      </c>
    </row>
    <row r="253" spans="1:21" x14ac:dyDescent="0.25">
      <c r="A253" s="16" t="s">
        <v>37</v>
      </c>
      <c r="B253" s="16" t="s">
        <v>257</v>
      </c>
      <c r="C253" s="16" t="s">
        <v>258</v>
      </c>
      <c r="D253" s="16" t="s">
        <v>100</v>
      </c>
      <c r="E253" s="16" t="s">
        <v>101</v>
      </c>
      <c r="F253" s="16" t="s">
        <v>152</v>
      </c>
      <c r="G253" s="16" t="s">
        <v>153</v>
      </c>
      <c r="H253" s="16" t="s">
        <v>85</v>
      </c>
      <c r="I253" s="16" t="s">
        <v>40</v>
      </c>
      <c r="J253" s="16" t="s">
        <v>69</v>
      </c>
      <c r="K253" s="16" t="s">
        <v>70</v>
      </c>
      <c r="L253" s="15">
        <v>-2699.5509870000001</v>
      </c>
      <c r="M253" s="15">
        <v>-2699.5509870000001</v>
      </c>
      <c r="N253" s="15">
        <v>-2665.3856373899998</v>
      </c>
      <c r="O253" s="15">
        <v>-34.165349610000249</v>
      </c>
      <c r="P253" s="15">
        <v>0</v>
      </c>
      <c r="Q253" s="15">
        <f t="shared" si="13"/>
        <v>0</v>
      </c>
      <c r="R253" s="36">
        <v>0</v>
      </c>
      <c r="S253" s="15">
        <f t="shared" si="14"/>
        <v>0</v>
      </c>
      <c r="T253" s="16"/>
      <c r="U253" s="15">
        <f t="shared" si="17"/>
        <v>-34.165349610000249</v>
      </c>
    </row>
    <row r="254" spans="1:21" x14ac:dyDescent="0.25">
      <c r="A254" s="16" t="s">
        <v>37</v>
      </c>
      <c r="B254" s="16" t="s">
        <v>257</v>
      </c>
      <c r="C254" s="16" t="s">
        <v>258</v>
      </c>
      <c r="D254" s="16" t="s">
        <v>100</v>
      </c>
      <c r="E254" s="16" t="s">
        <v>101</v>
      </c>
      <c r="F254" s="16" t="s">
        <v>152</v>
      </c>
      <c r="G254" s="16" t="s">
        <v>153</v>
      </c>
      <c r="H254" s="16" t="s">
        <v>85</v>
      </c>
      <c r="I254" s="16" t="s">
        <v>40</v>
      </c>
      <c r="J254" s="16" t="s">
        <v>136</v>
      </c>
      <c r="K254" s="16" t="s">
        <v>137</v>
      </c>
      <c r="L254" s="15">
        <v>-19447.700000000012</v>
      </c>
      <c r="M254" s="15">
        <v>0</v>
      </c>
      <c r="N254" s="15">
        <v>-19447.7</v>
      </c>
      <c r="O254" s="15">
        <v>-1.0913936421275139E-11</v>
      </c>
      <c r="P254" s="15">
        <v>-1.0913936421275139E-11</v>
      </c>
      <c r="Q254" s="15">
        <f t="shared" si="13"/>
        <v>-1.0913936421275139E-11</v>
      </c>
      <c r="R254" s="36">
        <v>0</v>
      </c>
      <c r="S254" s="15">
        <f t="shared" si="14"/>
        <v>-1.0913936421275139E-11</v>
      </c>
      <c r="T254" s="16"/>
      <c r="U254" s="26"/>
    </row>
    <row r="255" spans="1:21" x14ac:dyDescent="0.25">
      <c r="A255" s="16" t="s">
        <v>37</v>
      </c>
      <c r="B255" s="16" t="s">
        <v>265</v>
      </c>
      <c r="C255" s="16" t="s">
        <v>266</v>
      </c>
      <c r="D255" s="16" t="s">
        <v>100</v>
      </c>
      <c r="E255" s="16" t="s">
        <v>101</v>
      </c>
      <c r="F255" s="16" t="s">
        <v>152</v>
      </c>
      <c r="G255" s="16" t="s">
        <v>153</v>
      </c>
      <c r="H255" s="16" t="s">
        <v>85</v>
      </c>
      <c r="I255" s="16" t="s">
        <v>40</v>
      </c>
      <c r="J255" s="16" t="s">
        <v>138</v>
      </c>
      <c r="K255" s="16" t="s">
        <v>139</v>
      </c>
      <c r="L255" s="15">
        <v>-1807.1536417918308</v>
      </c>
      <c r="M255" s="15">
        <v>0</v>
      </c>
      <c r="N255" s="15">
        <v>-1807.1536417918298</v>
      </c>
      <c r="O255" s="15">
        <v>-9.0949470177292824E-13</v>
      </c>
      <c r="P255" s="15">
        <v>0</v>
      </c>
      <c r="Q255" s="15">
        <f t="shared" si="13"/>
        <v>0</v>
      </c>
      <c r="R255" s="36">
        <v>0</v>
      </c>
      <c r="S255" s="15">
        <f t="shared" si="14"/>
        <v>0</v>
      </c>
      <c r="T255" s="16"/>
      <c r="U255" s="16"/>
    </row>
    <row r="256" spans="1:21" x14ac:dyDescent="0.25">
      <c r="A256" s="16" t="s">
        <v>37</v>
      </c>
      <c r="B256" s="16" t="s">
        <v>269</v>
      </c>
      <c r="C256" s="16" t="s">
        <v>270</v>
      </c>
      <c r="D256" s="16" t="s">
        <v>100</v>
      </c>
      <c r="E256" s="16" t="s">
        <v>101</v>
      </c>
      <c r="F256" s="16" t="s">
        <v>154</v>
      </c>
      <c r="G256" s="16" t="s">
        <v>155</v>
      </c>
      <c r="H256" s="16" t="s">
        <v>85</v>
      </c>
      <c r="I256" s="16" t="s">
        <v>40</v>
      </c>
      <c r="J256" s="16" t="s">
        <v>38</v>
      </c>
      <c r="K256" s="16" t="s">
        <v>293</v>
      </c>
      <c r="L256" s="15">
        <v>-86658.365151378821</v>
      </c>
      <c r="M256" s="15">
        <v>-3503.535052115159</v>
      </c>
      <c r="N256" s="15">
        <v>-408288.65795245121</v>
      </c>
      <c r="O256" s="15">
        <v>321630.29280107241</v>
      </c>
      <c r="P256" s="15">
        <f>O256</f>
        <v>321630.29280107241</v>
      </c>
      <c r="Q256" s="15">
        <f>P256-R256-321630</f>
        <v>0.29280107241356745</v>
      </c>
      <c r="R256" s="36">
        <v>0</v>
      </c>
      <c r="S256" s="15">
        <f t="shared" si="14"/>
        <v>0.29280107241356745</v>
      </c>
      <c r="T256" s="16"/>
      <c r="U256" s="16"/>
    </row>
    <row r="257" spans="1:21" x14ac:dyDescent="0.25">
      <c r="A257" s="16" t="s">
        <v>37</v>
      </c>
      <c r="B257" s="16" t="s">
        <v>265</v>
      </c>
      <c r="C257" s="16" t="s">
        <v>266</v>
      </c>
      <c r="D257" s="16" t="s">
        <v>100</v>
      </c>
      <c r="E257" s="16" t="s">
        <v>101</v>
      </c>
      <c r="F257" s="16" t="s">
        <v>154</v>
      </c>
      <c r="G257" s="16" t="s">
        <v>155</v>
      </c>
      <c r="H257" s="16" t="s">
        <v>85</v>
      </c>
      <c r="I257" s="16" t="s">
        <v>40</v>
      </c>
      <c r="J257" s="16" t="s">
        <v>38</v>
      </c>
      <c r="K257" s="16" t="s">
        <v>293</v>
      </c>
      <c r="L257" s="15">
        <v>-697147.87575117289</v>
      </c>
      <c r="M257" s="15">
        <v>-28966.430014729529</v>
      </c>
      <c r="N257" s="15">
        <v>-626978.41997836158</v>
      </c>
      <c r="O257" s="15">
        <v>-70169.455772811198</v>
      </c>
      <c r="P257" s="15">
        <v>-70169.455772811198</v>
      </c>
      <c r="Q257" s="15">
        <f t="shared" si="13"/>
        <v>-70169.455772811198</v>
      </c>
      <c r="R257" s="36">
        <v>0</v>
      </c>
      <c r="S257" s="15">
        <f t="shared" si="14"/>
        <v>-70169.455772811198</v>
      </c>
      <c r="T257" s="16"/>
      <c r="U257" s="16"/>
    </row>
    <row r="258" spans="1:21" x14ac:dyDescent="0.25">
      <c r="A258" s="16" t="s">
        <v>37</v>
      </c>
      <c r="B258" s="16" t="s">
        <v>257</v>
      </c>
      <c r="C258" s="16" t="s">
        <v>258</v>
      </c>
      <c r="D258" s="16" t="s">
        <v>100</v>
      </c>
      <c r="E258" s="16" t="s">
        <v>101</v>
      </c>
      <c r="F258" s="16" t="s">
        <v>154</v>
      </c>
      <c r="G258" s="16" t="s">
        <v>155</v>
      </c>
      <c r="H258" s="16" t="s">
        <v>85</v>
      </c>
      <c r="I258" s="16" t="s">
        <v>40</v>
      </c>
      <c r="J258" s="16" t="s">
        <v>38</v>
      </c>
      <c r="K258" s="16" t="s">
        <v>293</v>
      </c>
      <c r="L258" s="15">
        <v>-957579.32928723749</v>
      </c>
      <c r="M258" s="15">
        <v>-262239.11455835158</v>
      </c>
      <c r="N258" s="15">
        <v>-480185.19574151246</v>
      </c>
      <c r="O258" s="15">
        <v>-477394.13354572485</v>
      </c>
      <c r="P258" s="15">
        <v>-477394.13354572485</v>
      </c>
      <c r="Q258" s="15">
        <f>P258-R258+P256</f>
        <v>-155763.84074465244</v>
      </c>
      <c r="R258" s="36">
        <v>0</v>
      </c>
      <c r="S258" s="15">
        <f t="shared" si="14"/>
        <v>-155763.84074465244</v>
      </c>
      <c r="T258" s="16"/>
      <c r="U258" s="26"/>
    </row>
    <row r="259" spans="1:21" x14ac:dyDescent="0.25">
      <c r="A259" s="16" t="s">
        <v>37</v>
      </c>
      <c r="B259" s="16" t="s">
        <v>257</v>
      </c>
      <c r="C259" s="16" t="s">
        <v>258</v>
      </c>
      <c r="D259" s="16" t="s">
        <v>100</v>
      </c>
      <c r="E259" s="16" t="s">
        <v>101</v>
      </c>
      <c r="F259" s="16" t="s">
        <v>154</v>
      </c>
      <c r="G259" s="16" t="s">
        <v>155</v>
      </c>
      <c r="H259" s="16" t="s">
        <v>85</v>
      </c>
      <c r="I259" s="16" t="s">
        <v>40</v>
      </c>
      <c r="J259" s="16" t="s">
        <v>142</v>
      </c>
      <c r="K259" s="16" t="s">
        <v>143</v>
      </c>
      <c r="L259" s="15">
        <v>-4258.0300000000007</v>
      </c>
      <c r="M259" s="15">
        <v>0</v>
      </c>
      <c r="N259" s="15">
        <v>0</v>
      </c>
      <c r="O259" s="15">
        <v>-4258.0300000000007</v>
      </c>
      <c r="P259" s="15">
        <v>-4258.0300000000007</v>
      </c>
      <c r="Q259" s="15">
        <f t="shared" si="13"/>
        <v>-4258.0300000000007</v>
      </c>
      <c r="R259" s="36">
        <v>0</v>
      </c>
      <c r="S259" s="15">
        <f t="shared" si="14"/>
        <v>-4258.0300000000007</v>
      </c>
      <c r="T259" s="16"/>
      <c r="U259" s="26"/>
    </row>
    <row r="260" spans="1:21" x14ac:dyDescent="0.25">
      <c r="A260" s="16" t="s">
        <v>37</v>
      </c>
      <c r="B260" s="16" t="s">
        <v>269</v>
      </c>
      <c r="C260" s="16" t="s">
        <v>270</v>
      </c>
      <c r="D260" s="16" t="s">
        <v>100</v>
      </c>
      <c r="E260" s="16" t="s">
        <v>101</v>
      </c>
      <c r="F260" s="16" t="s">
        <v>154</v>
      </c>
      <c r="G260" s="16" t="s">
        <v>155</v>
      </c>
      <c r="H260" s="16" t="s">
        <v>85</v>
      </c>
      <c r="I260" s="16" t="s">
        <v>40</v>
      </c>
      <c r="J260" s="16" t="s">
        <v>130</v>
      </c>
      <c r="K260" s="16" t="s">
        <v>131</v>
      </c>
      <c r="L260" s="15">
        <v>-3948.6800000136336</v>
      </c>
      <c r="M260" s="15">
        <v>-3948.6800000136336</v>
      </c>
      <c r="N260" s="15">
        <v>0</v>
      </c>
      <c r="O260" s="15">
        <v>-3948.6800000136336</v>
      </c>
      <c r="P260" s="15">
        <v>-3948.6800000136336</v>
      </c>
      <c r="Q260" s="15">
        <f t="shared" si="13"/>
        <v>-3948.6800000136336</v>
      </c>
      <c r="R260" s="36">
        <v>0</v>
      </c>
      <c r="S260" s="15">
        <f t="shared" si="14"/>
        <v>-3948.6800000136336</v>
      </c>
      <c r="T260" s="16"/>
      <c r="U260" s="16"/>
    </row>
    <row r="261" spans="1:21" x14ac:dyDescent="0.25">
      <c r="A261" s="16" t="s">
        <v>37</v>
      </c>
      <c r="B261" s="16" t="s">
        <v>257</v>
      </c>
      <c r="C261" s="16" t="s">
        <v>258</v>
      </c>
      <c r="D261" s="16" t="s">
        <v>100</v>
      </c>
      <c r="E261" s="16" t="s">
        <v>101</v>
      </c>
      <c r="F261" s="16" t="s">
        <v>154</v>
      </c>
      <c r="G261" s="16" t="s">
        <v>155</v>
      </c>
      <c r="H261" s="16" t="s">
        <v>85</v>
      </c>
      <c r="I261" s="16" t="s">
        <v>40</v>
      </c>
      <c r="J261" s="16" t="s">
        <v>296</v>
      </c>
      <c r="K261" s="16" t="s">
        <v>297</v>
      </c>
      <c r="L261" s="15">
        <v>-189.234999587</v>
      </c>
      <c r="M261" s="15">
        <v>0</v>
      </c>
      <c r="N261" s="15">
        <v>-188.793916</v>
      </c>
      <c r="O261" s="15">
        <v>-0.44108358699998007</v>
      </c>
      <c r="P261" s="15">
        <v>-0.44108358699998007</v>
      </c>
      <c r="Q261" s="15">
        <f t="shared" si="13"/>
        <v>-0.44108358699998007</v>
      </c>
      <c r="R261" s="36">
        <v>0</v>
      </c>
      <c r="S261" s="15">
        <f t="shared" si="14"/>
        <v>-0.44108358699998007</v>
      </c>
      <c r="T261" s="16"/>
      <c r="U261" s="26"/>
    </row>
    <row r="262" spans="1:21" x14ac:dyDescent="0.25">
      <c r="A262" s="16" t="s">
        <v>37</v>
      </c>
      <c r="B262" s="16" t="s">
        <v>265</v>
      </c>
      <c r="C262" s="16" t="s">
        <v>266</v>
      </c>
      <c r="D262" s="16" t="s">
        <v>100</v>
      </c>
      <c r="E262" s="16" t="s">
        <v>101</v>
      </c>
      <c r="F262" s="16" t="s">
        <v>154</v>
      </c>
      <c r="G262" s="16" t="s">
        <v>155</v>
      </c>
      <c r="H262" s="16" t="s">
        <v>85</v>
      </c>
      <c r="I262" s="16" t="s">
        <v>40</v>
      </c>
      <c r="J262" s="16" t="s">
        <v>124</v>
      </c>
      <c r="K262" s="16" t="s">
        <v>125</v>
      </c>
      <c r="L262" s="15">
        <v>-69079.998315229997</v>
      </c>
      <c r="M262" s="15">
        <v>0</v>
      </c>
      <c r="N262" s="15">
        <v>-55275.421564232209</v>
      </c>
      <c r="O262" s="15">
        <v>-13804.576750997776</v>
      </c>
      <c r="P262" s="15">
        <v>0</v>
      </c>
      <c r="Q262" s="15">
        <f t="shared" si="13"/>
        <v>0</v>
      </c>
      <c r="R262" s="36">
        <v>0</v>
      </c>
      <c r="S262" s="15">
        <f t="shared" si="14"/>
        <v>0</v>
      </c>
      <c r="T262" s="16"/>
      <c r="U262" s="16"/>
    </row>
    <row r="263" spans="1:21" x14ac:dyDescent="0.25">
      <c r="A263" s="16" t="s">
        <v>37</v>
      </c>
      <c r="B263" s="16" t="s">
        <v>257</v>
      </c>
      <c r="C263" s="16" t="s">
        <v>258</v>
      </c>
      <c r="D263" s="16" t="s">
        <v>100</v>
      </c>
      <c r="E263" s="16" t="s">
        <v>101</v>
      </c>
      <c r="F263" s="16" t="s">
        <v>154</v>
      </c>
      <c r="G263" s="16" t="s">
        <v>155</v>
      </c>
      <c r="H263" s="16" t="s">
        <v>85</v>
      </c>
      <c r="I263" s="16" t="s">
        <v>40</v>
      </c>
      <c r="J263" s="16" t="s">
        <v>124</v>
      </c>
      <c r="K263" s="16" t="s">
        <v>125</v>
      </c>
      <c r="L263" s="15">
        <v>-64.138899999999992</v>
      </c>
      <c r="M263" s="15">
        <v>0</v>
      </c>
      <c r="N263" s="15">
        <v>-48.544533999999999</v>
      </c>
      <c r="O263" s="15">
        <v>-15.594365999999994</v>
      </c>
      <c r="P263" s="15">
        <v>0</v>
      </c>
      <c r="Q263" s="15">
        <f t="shared" si="13"/>
        <v>0</v>
      </c>
      <c r="R263" s="36">
        <v>0</v>
      </c>
      <c r="S263" s="15">
        <f t="shared" si="14"/>
        <v>0</v>
      </c>
      <c r="T263" s="16"/>
      <c r="U263" s="26"/>
    </row>
    <row r="264" spans="1:21" x14ac:dyDescent="0.25">
      <c r="A264" s="16" t="s">
        <v>37</v>
      </c>
      <c r="B264" s="16" t="s">
        <v>269</v>
      </c>
      <c r="C264" s="16" t="s">
        <v>270</v>
      </c>
      <c r="D264" s="16" t="s">
        <v>100</v>
      </c>
      <c r="E264" s="16" t="s">
        <v>101</v>
      </c>
      <c r="F264" s="16" t="s">
        <v>154</v>
      </c>
      <c r="G264" s="16" t="s">
        <v>155</v>
      </c>
      <c r="H264" s="16" t="s">
        <v>85</v>
      </c>
      <c r="I264" s="16" t="s">
        <v>40</v>
      </c>
      <c r="J264" s="16" t="s">
        <v>124</v>
      </c>
      <c r="K264" s="16" t="s">
        <v>125</v>
      </c>
      <c r="L264" s="15">
        <v>-413.63184455046758</v>
      </c>
      <c r="M264" s="15">
        <v>0</v>
      </c>
      <c r="N264" s="15">
        <v>-298.69999999999976</v>
      </c>
      <c r="O264" s="15">
        <v>-114.93184455046796</v>
      </c>
      <c r="P264" s="15">
        <v>0</v>
      </c>
      <c r="Q264" s="15">
        <f t="shared" si="13"/>
        <v>0</v>
      </c>
      <c r="R264" s="36">
        <v>0</v>
      </c>
      <c r="S264" s="15">
        <f t="shared" si="14"/>
        <v>0</v>
      </c>
      <c r="T264" s="16"/>
      <c r="U264" s="16"/>
    </row>
    <row r="265" spans="1:21" x14ac:dyDescent="0.25">
      <c r="A265" s="16" t="s">
        <v>37</v>
      </c>
      <c r="B265" s="16" t="s">
        <v>257</v>
      </c>
      <c r="C265" s="16" t="s">
        <v>258</v>
      </c>
      <c r="D265" s="16" t="s">
        <v>100</v>
      </c>
      <c r="E265" s="16" t="s">
        <v>101</v>
      </c>
      <c r="F265" s="16" t="s">
        <v>154</v>
      </c>
      <c r="G265" s="16" t="s">
        <v>155</v>
      </c>
      <c r="H265" s="16" t="s">
        <v>85</v>
      </c>
      <c r="I265" s="16" t="s">
        <v>40</v>
      </c>
      <c r="J265" s="16" t="s">
        <v>298</v>
      </c>
      <c r="K265" s="16" t="s">
        <v>299</v>
      </c>
      <c r="L265" s="15">
        <v>-2926.94664474</v>
      </c>
      <c r="M265" s="15">
        <v>-119.769552</v>
      </c>
      <c r="N265" s="15">
        <v>-1858.2710249614001</v>
      </c>
      <c r="O265" s="15">
        <v>-1068.6756197785996</v>
      </c>
      <c r="P265" s="15">
        <v>-1068.6756197785996</v>
      </c>
      <c r="Q265" s="15">
        <f t="shared" si="13"/>
        <v>-1068.6756197785996</v>
      </c>
      <c r="R265" s="36">
        <v>0</v>
      </c>
      <c r="S265" s="15">
        <f t="shared" si="14"/>
        <v>-1068.6756197785996</v>
      </c>
      <c r="T265" s="16"/>
      <c r="U265" s="26"/>
    </row>
    <row r="266" spans="1:21" x14ac:dyDescent="0.25">
      <c r="A266" s="16" t="s">
        <v>37</v>
      </c>
      <c r="B266" s="16" t="s">
        <v>269</v>
      </c>
      <c r="C266" s="16" t="s">
        <v>270</v>
      </c>
      <c r="D266" s="16" t="s">
        <v>100</v>
      </c>
      <c r="E266" s="16" t="s">
        <v>101</v>
      </c>
      <c r="F266" s="16" t="s">
        <v>154</v>
      </c>
      <c r="G266" s="16" t="s">
        <v>155</v>
      </c>
      <c r="H266" s="16" t="s">
        <v>85</v>
      </c>
      <c r="I266" s="16" t="s">
        <v>40</v>
      </c>
      <c r="J266" s="16" t="s">
        <v>132</v>
      </c>
      <c r="K266" s="16" t="s">
        <v>133</v>
      </c>
      <c r="L266" s="15">
        <v>-11603.38038334372</v>
      </c>
      <c r="M266" s="15">
        <v>-11603.38038334372</v>
      </c>
      <c r="N266" s="15">
        <v>-11603.379997883845</v>
      </c>
      <c r="O266" s="15">
        <v>-3.8545987297311513E-4</v>
      </c>
      <c r="P266" s="15">
        <v>0</v>
      </c>
      <c r="Q266" s="15">
        <f t="shared" si="13"/>
        <v>0</v>
      </c>
      <c r="R266" s="36">
        <v>0</v>
      </c>
      <c r="S266" s="15">
        <f t="shared" si="14"/>
        <v>0</v>
      </c>
      <c r="T266" s="16"/>
      <c r="U266" s="16"/>
    </row>
    <row r="267" spans="1:21" x14ac:dyDescent="0.25">
      <c r="A267" s="16" t="s">
        <v>37</v>
      </c>
      <c r="B267" s="16" t="s">
        <v>269</v>
      </c>
      <c r="C267" s="16" t="s">
        <v>270</v>
      </c>
      <c r="D267" s="16" t="s">
        <v>100</v>
      </c>
      <c r="E267" s="16" t="s">
        <v>101</v>
      </c>
      <c r="F267" s="16" t="s">
        <v>154</v>
      </c>
      <c r="G267" s="16" t="s">
        <v>155</v>
      </c>
      <c r="H267" s="16" t="s">
        <v>85</v>
      </c>
      <c r="I267" s="16" t="s">
        <v>40</v>
      </c>
      <c r="J267" s="16" t="s">
        <v>64</v>
      </c>
      <c r="K267" s="16" t="s">
        <v>65</v>
      </c>
      <c r="L267" s="15">
        <v>-25717.704636341037</v>
      </c>
      <c r="M267" s="15">
        <v>0</v>
      </c>
      <c r="N267" s="15">
        <v>-23217.699963209256</v>
      </c>
      <c r="O267" s="15">
        <v>-2500.0046731317816</v>
      </c>
      <c r="P267" s="15">
        <v>-2500.0046731317816</v>
      </c>
      <c r="Q267" s="15">
        <f t="shared" si="13"/>
        <v>-2500.0046731317816</v>
      </c>
      <c r="R267" s="36">
        <v>0</v>
      </c>
      <c r="S267" s="15">
        <f t="shared" si="14"/>
        <v>-2500.0046731317816</v>
      </c>
      <c r="T267" s="16"/>
      <c r="U267" s="16"/>
    </row>
    <row r="268" spans="1:21" x14ac:dyDescent="0.25">
      <c r="A268" s="16" t="s">
        <v>37</v>
      </c>
      <c r="B268" s="16" t="s">
        <v>269</v>
      </c>
      <c r="C268" s="16" t="s">
        <v>270</v>
      </c>
      <c r="D268" s="16" t="s">
        <v>100</v>
      </c>
      <c r="E268" s="16" t="s">
        <v>101</v>
      </c>
      <c r="F268" s="16" t="s">
        <v>154</v>
      </c>
      <c r="G268" s="16" t="s">
        <v>155</v>
      </c>
      <c r="H268" s="16" t="s">
        <v>85</v>
      </c>
      <c r="I268" s="16" t="s">
        <v>40</v>
      </c>
      <c r="J268" s="16" t="s">
        <v>66</v>
      </c>
      <c r="K268" s="16" t="s">
        <v>63</v>
      </c>
      <c r="L268" s="15">
        <v>-15398.847824232224</v>
      </c>
      <c r="M268" s="15">
        <v>-15398.847824232224</v>
      </c>
      <c r="N268" s="15">
        <v>-15398.849986943165</v>
      </c>
      <c r="O268" s="15">
        <v>2.1627109422297508E-3</v>
      </c>
      <c r="P268" s="15">
        <v>0</v>
      </c>
      <c r="Q268" s="15">
        <f t="shared" si="13"/>
        <v>0</v>
      </c>
      <c r="R268" s="36">
        <v>0</v>
      </c>
      <c r="S268" s="15">
        <f t="shared" si="14"/>
        <v>0</v>
      </c>
      <c r="T268" s="16"/>
      <c r="U268" s="16"/>
    </row>
    <row r="269" spans="1:21" x14ac:dyDescent="0.25">
      <c r="A269" s="16" t="s">
        <v>37</v>
      </c>
      <c r="B269" s="16" t="s">
        <v>257</v>
      </c>
      <c r="C269" s="16" t="s">
        <v>258</v>
      </c>
      <c r="D269" s="16" t="s">
        <v>100</v>
      </c>
      <c r="E269" s="16" t="s">
        <v>101</v>
      </c>
      <c r="F269" s="16" t="s">
        <v>154</v>
      </c>
      <c r="G269" s="16" t="s">
        <v>155</v>
      </c>
      <c r="H269" s="16" t="s">
        <v>85</v>
      </c>
      <c r="I269" s="16" t="s">
        <v>40</v>
      </c>
      <c r="J269" s="16" t="s">
        <v>67</v>
      </c>
      <c r="K269" s="16" t="s">
        <v>68</v>
      </c>
      <c r="L269" s="15">
        <v>-1720</v>
      </c>
      <c r="M269" s="15">
        <v>0</v>
      </c>
      <c r="N269" s="15">
        <v>0</v>
      </c>
      <c r="O269" s="15">
        <v>-1720</v>
      </c>
      <c r="P269" s="15">
        <v>-1720</v>
      </c>
      <c r="Q269" s="15">
        <f t="shared" si="13"/>
        <v>-1720</v>
      </c>
      <c r="R269" s="36">
        <v>0</v>
      </c>
      <c r="S269" s="15">
        <f t="shared" si="14"/>
        <v>-1720</v>
      </c>
      <c r="T269" s="16"/>
      <c r="U269" s="26"/>
    </row>
    <row r="270" spans="1:21" x14ac:dyDescent="0.25">
      <c r="A270" s="16" t="s">
        <v>37</v>
      </c>
      <c r="B270" s="16" t="s">
        <v>257</v>
      </c>
      <c r="C270" s="16" t="s">
        <v>258</v>
      </c>
      <c r="D270" s="16" t="s">
        <v>100</v>
      </c>
      <c r="E270" s="16" t="s">
        <v>101</v>
      </c>
      <c r="F270" s="16" t="s">
        <v>154</v>
      </c>
      <c r="G270" s="16" t="s">
        <v>155</v>
      </c>
      <c r="H270" s="16" t="s">
        <v>85</v>
      </c>
      <c r="I270" s="16" t="s">
        <v>40</v>
      </c>
      <c r="J270" s="16" t="s">
        <v>69</v>
      </c>
      <c r="K270" s="16" t="s">
        <v>70</v>
      </c>
      <c r="L270" s="15">
        <v>-1147.544322</v>
      </c>
      <c r="M270" s="15">
        <v>-1147.544322</v>
      </c>
      <c r="N270" s="15">
        <v>-1133.0210723400005</v>
      </c>
      <c r="O270" s="15">
        <v>-14.523249659999408</v>
      </c>
      <c r="P270" s="15">
        <v>0</v>
      </c>
      <c r="Q270" s="15">
        <f t="shared" si="13"/>
        <v>0</v>
      </c>
      <c r="R270" s="36">
        <v>0</v>
      </c>
      <c r="S270" s="15">
        <f t="shared" si="14"/>
        <v>0</v>
      </c>
      <c r="T270" s="16"/>
      <c r="U270" s="15">
        <f t="shared" ref="U270:U271" si="18">O270</f>
        <v>-14.523249659999408</v>
      </c>
    </row>
    <row r="271" spans="1:21" x14ac:dyDescent="0.25">
      <c r="A271" s="16" t="s">
        <v>37</v>
      </c>
      <c r="B271" s="16" t="s">
        <v>269</v>
      </c>
      <c r="C271" s="16" t="s">
        <v>270</v>
      </c>
      <c r="D271" s="16" t="s">
        <v>100</v>
      </c>
      <c r="E271" s="16" t="s">
        <v>101</v>
      </c>
      <c r="F271" s="16" t="s">
        <v>154</v>
      </c>
      <c r="G271" s="16" t="s">
        <v>155</v>
      </c>
      <c r="H271" s="16" t="s">
        <v>85</v>
      </c>
      <c r="I271" s="16" t="s">
        <v>40</v>
      </c>
      <c r="J271" s="16" t="s">
        <v>69</v>
      </c>
      <c r="K271" s="16" t="s">
        <v>70</v>
      </c>
      <c r="L271" s="15">
        <v>-387.90254126649177</v>
      </c>
      <c r="M271" s="15">
        <v>-387.90254126649177</v>
      </c>
      <c r="N271" s="15">
        <v>-387.88999931170179</v>
      </c>
      <c r="O271" s="15">
        <v>-1.2541954789973886E-2</v>
      </c>
      <c r="P271" s="15">
        <v>0</v>
      </c>
      <c r="Q271" s="15">
        <f t="shared" ref="Q271:Q334" si="19">P271-R271</f>
        <v>0</v>
      </c>
      <c r="R271" s="36">
        <v>0</v>
      </c>
      <c r="S271" s="15">
        <f t="shared" ref="S271:S334" si="20">SUM(Q271:R271)</f>
        <v>0</v>
      </c>
      <c r="T271" s="16"/>
      <c r="U271" s="15">
        <f t="shared" si="18"/>
        <v>-1.2541954789973886E-2</v>
      </c>
    </row>
    <row r="272" spans="1:21" x14ac:dyDescent="0.25">
      <c r="A272" s="16" t="s">
        <v>37</v>
      </c>
      <c r="B272" s="16" t="s">
        <v>257</v>
      </c>
      <c r="C272" s="16" t="s">
        <v>258</v>
      </c>
      <c r="D272" s="16" t="s">
        <v>100</v>
      </c>
      <c r="E272" s="16" t="s">
        <v>101</v>
      </c>
      <c r="F272" s="16" t="s">
        <v>154</v>
      </c>
      <c r="G272" s="16" t="s">
        <v>155</v>
      </c>
      <c r="H272" s="16" t="s">
        <v>85</v>
      </c>
      <c r="I272" s="16" t="s">
        <v>40</v>
      </c>
      <c r="J272" s="16" t="s">
        <v>136</v>
      </c>
      <c r="K272" s="16" t="s">
        <v>137</v>
      </c>
      <c r="L272" s="15">
        <v>-19447.700000000012</v>
      </c>
      <c r="M272" s="15">
        <v>0</v>
      </c>
      <c r="N272" s="15">
        <v>-19447.7</v>
      </c>
      <c r="O272" s="15">
        <v>-1.0913936421275139E-11</v>
      </c>
      <c r="P272" s="15">
        <v>-1.0913936421275139E-11</v>
      </c>
      <c r="Q272" s="15">
        <f t="shared" si="19"/>
        <v>-1.0913936421275139E-11</v>
      </c>
      <c r="R272" s="36">
        <v>0</v>
      </c>
      <c r="S272" s="15">
        <f t="shared" si="20"/>
        <v>-1.0913936421275139E-11</v>
      </c>
      <c r="T272" s="16"/>
      <c r="U272" s="26"/>
    </row>
    <row r="273" spans="1:21" x14ac:dyDescent="0.25">
      <c r="A273" s="16" t="s">
        <v>37</v>
      </c>
      <c r="B273" s="16" t="s">
        <v>265</v>
      </c>
      <c r="C273" s="16" t="s">
        <v>266</v>
      </c>
      <c r="D273" s="16" t="s">
        <v>100</v>
      </c>
      <c r="E273" s="16" t="s">
        <v>101</v>
      </c>
      <c r="F273" s="16" t="s">
        <v>154</v>
      </c>
      <c r="G273" s="16" t="s">
        <v>155</v>
      </c>
      <c r="H273" s="16" t="s">
        <v>85</v>
      </c>
      <c r="I273" s="16" t="s">
        <v>40</v>
      </c>
      <c r="J273" s="16" t="s">
        <v>138</v>
      </c>
      <c r="K273" s="16" t="s">
        <v>139</v>
      </c>
      <c r="L273" s="15">
        <v>-762.8503038114527</v>
      </c>
      <c r="M273" s="15">
        <v>0</v>
      </c>
      <c r="N273" s="15">
        <v>-762.8503038114527</v>
      </c>
      <c r="O273" s="15">
        <v>0</v>
      </c>
      <c r="P273" s="15">
        <v>0</v>
      </c>
      <c r="Q273" s="15">
        <f t="shared" si="19"/>
        <v>0</v>
      </c>
      <c r="R273" s="36">
        <v>0</v>
      </c>
      <c r="S273" s="15">
        <f t="shared" si="20"/>
        <v>0</v>
      </c>
      <c r="T273" s="16"/>
      <c r="U273" s="16"/>
    </row>
    <row r="274" spans="1:21" x14ac:dyDescent="0.25">
      <c r="A274" s="16" t="s">
        <v>37</v>
      </c>
      <c r="B274" s="16" t="s">
        <v>269</v>
      </c>
      <c r="C274" s="16" t="s">
        <v>270</v>
      </c>
      <c r="D274" s="16" t="s">
        <v>100</v>
      </c>
      <c r="E274" s="16" t="s">
        <v>101</v>
      </c>
      <c r="F274" s="16" t="s">
        <v>156</v>
      </c>
      <c r="G274" s="16" t="s">
        <v>157</v>
      </c>
      <c r="H274" s="16" t="s">
        <v>85</v>
      </c>
      <c r="I274" s="16" t="s">
        <v>40</v>
      </c>
      <c r="J274" s="16" t="s">
        <v>38</v>
      </c>
      <c r="K274" s="16" t="s">
        <v>293</v>
      </c>
      <c r="L274" s="15">
        <v>-50456.275019116511</v>
      </c>
      <c r="M274" s="15">
        <v>-144.59849013650523</v>
      </c>
      <c r="N274" s="15">
        <v>-103663.63300447934</v>
      </c>
      <c r="O274" s="15">
        <v>53207.357985362833</v>
      </c>
      <c r="P274" s="15">
        <f>O274</f>
        <v>53207.357985362833</v>
      </c>
      <c r="Q274" s="15">
        <f>P274-R274-53207</f>
        <v>0.35798536283255089</v>
      </c>
      <c r="R274" s="36">
        <v>0</v>
      </c>
      <c r="S274" s="15">
        <f t="shared" si="20"/>
        <v>0.35798536283255089</v>
      </c>
      <c r="T274" s="16"/>
      <c r="U274" s="16"/>
    </row>
    <row r="275" spans="1:21" x14ac:dyDescent="0.25">
      <c r="A275" s="16" t="s">
        <v>37</v>
      </c>
      <c r="B275" s="16" t="s">
        <v>261</v>
      </c>
      <c r="C275" s="16" t="s">
        <v>262</v>
      </c>
      <c r="D275" s="16" t="s">
        <v>100</v>
      </c>
      <c r="E275" s="16" t="s">
        <v>101</v>
      </c>
      <c r="F275" s="16" t="s">
        <v>156</v>
      </c>
      <c r="G275" s="16" t="s">
        <v>157</v>
      </c>
      <c r="H275" s="16" t="s">
        <v>85</v>
      </c>
      <c r="I275" s="16" t="s">
        <v>40</v>
      </c>
      <c r="J275" s="16" t="s">
        <v>38</v>
      </c>
      <c r="K275" s="16" t="s">
        <v>293</v>
      </c>
      <c r="L275" s="15">
        <v>-868179.55427239928</v>
      </c>
      <c r="M275" s="15">
        <v>-176166.92</v>
      </c>
      <c r="N275" s="15">
        <v>-649708.97323909088</v>
      </c>
      <c r="O275" s="15">
        <v>-218470.58103330852</v>
      </c>
      <c r="P275" s="15">
        <v>-218470.58103330852</v>
      </c>
      <c r="Q275" s="15">
        <f t="shared" si="19"/>
        <v>-218470.58103330852</v>
      </c>
      <c r="R275" s="36">
        <v>0</v>
      </c>
      <c r="S275" s="15">
        <f t="shared" si="20"/>
        <v>-218470.58103330852</v>
      </c>
      <c r="T275" s="16"/>
      <c r="U275" s="16"/>
    </row>
    <row r="276" spans="1:21" x14ac:dyDescent="0.25">
      <c r="A276" s="16" t="s">
        <v>37</v>
      </c>
      <c r="B276" s="16" t="s">
        <v>257</v>
      </c>
      <c r="C276" s="16" t="s">
        <v>258</v>
      </c>
      <c r="D276" s="16" t="s">
        <v>100</v>
      </c>
      <c r="E276" s="16" t="s">
        <v>101</v>
      </c>
      <c r="F276" s="16" t="s">
        <v>156</v>
      </c>
      <c r="G276" s="16" t="s">
        <v>157</v>
      </c>
      <c r="H276" s="16" t="s">
        <v>85</v>
      </c>
      <c r="I276" s="16" t="s">
        <v>40</v>
      </c>
      <c r="J276" s="16" t="s">
        <v>38</v>
      </c>
      <c r="K276" s="16" t="s">
        <v>293</v>
      </c>
      <c r="L276" s="15">
        <v>-2979037.6382238595</v>
      </c>
      <c r="M276" s="15">
        <v>-908737.85159945046</v>
      </c>
      <c r="N276" s="15">
        <v>-1952056.6811778466</v>
      </c>
      <c r="O276" s="15">
        <v>-1026980.9570460134</v>
      </c>
      <c r="P276" s="15">
        <v>-1026980.9570460134</v>
      </c>
      <c r="Q276" s="15">
        <f>P276-R276+P274</f>
        <v>-973773.59906065057</v>
      </c>
      <c r="R276" s="36">
        <v>0</v>
      </c>
      <c r="S276" s="15">
        <f t="shared" si="20"/>
        <v>-973773.59906065057</v>
      </c>
      <c r="T276" s="16"/>
      <c r="U276" s="26"/>
    </row>
    <row r="277" spans="1:21" x14ac:dyDescent="0.25">
      <c r="A277" s="16" t="s">
        <v>37</v>
      </c>
      <c r="B277" s="16" t="s">
        <v>257</v>
      </c>
      <c r="C277" s="16" t="s">
        <v>258</v>
      </c>
      <c r="D277" s="16" t="s">
        <v>100</v>
      </c>
      <c r="E277" s="16" t="s">
        <v>101</v>
      </c>
      <c r="F277" s="16" t="s">
        <v>156</v>
      </c>
      <c r="G277" s="16" t="s">
        <v>157</v>
      </c>
      <c r="H277" s="16" t="s">
        <v>85</v>
      </c>
      <c r="I277" s="16" t="s">
        <v>40</v>
      </c>
      <c r="J277" s="16" t="s">
        <v>142</v>
      </c>
      <c r="K277" s="16" t="s">
        <v>143</v>
      </c>
      <c r="L277" s="15">
        <v>-7318.0379999999996</v>
      </c>
      <c r="M277" s="15">
        <v>0</v>
      </c>
      <c r="N277" s="15">
        <v>0</v>
      </c>
      <c r="O277" s="15">
        <v>-7318.0379999999996</v>
      </c>
      <c r="P277" s="15">
        <v>-7318.0379999999996</v>
      </c>
      <c r="Q277" s="15">
        <f t="shared" si="19"/>
        <v>-7318.0379999999996</v>
      </c>
      <c r="R277" s="36">
        <v>0</v>
      </c>
      <c r="S277" s="15">
        <f t="shared" si="20"/>
        <v>-7318.0379999999996</v>
      </c>
      <c r="T277" s="16"/>
      <c r="U277" s="26"/>
    </row>
    <row r="278" spans="1:21" x14ac:dyDescent="0.25">
      <c r="A278" s="16" t="s">
        <v>37</v>
      </c>
      <c r="B278" s="16" t="s">
        <v>269</v>
      </c>
      <c r="C278" s="16" t="s">
        <v>270</v>
      </c>
      <c r="D278" s="16" t="s">
        <v>100</v>
      </c>
      <c r="E278" s="16" t="s">
        <v>101</v>
      </c>
      <c r="F278" s="16" t="s">
        <v>156</v>
      </c>
      <c r="G278" s="16" t="s">
        <v>157</v>
      </c>
      <c r="H278" s="16" t="s">
        <v>85</v>
      </c>
      <c r="I278" s="16" t="s">
        <v>40</v>
      </c>
      <c r="J278" s="16" t="s">
        <v>130</v>
      </c>
      <c r="K278" s="16" t="s">
        <v>131</v>
      </c>
      <c r="L278" s="15">
        <v>-751.4600000025946</v>
      </c>
      <c r="M278" s="15">
        <v>-751.4600000025946</v>
      </c>
      <c r="N278" s="15">
        <v>0</v>
      </c>
      <c r="O278" s="15">
        <v>-751.4600000025946</v>
      </c>
      <c r="P278" s="15">
        <v>-751.4600000025946</v>
      </c>
      <c r="Q278" s="15">
        <f t="shared" si="19"/>
        <v>-751.4600000025946</v>
      </c>
      <c r="R278" s="36">
        <v>0</v>
      </c>
      <c r="S278" s="15">
        <f t="shared" si="20"/>
        <v>-751.4600000025946</v>
      </c>
      <c r="T278" s="16"/>
      <c r="U278" s="16"/>
    </row>
    <row r="279" spans="1:21" x14ac:dyDescent="0.25">
      <c r="A279" s="16" t="s">
        <v>37</v>
      </c>
      <c r="B279" s="16" t="s">
        <v>257</v>
      </c>
      <c r="C279" s="16" t="s">
        <v>258</v>
      </c>
      <c r="D279" s="16" t="s">
        <v>100</v>
      </c>
      <c r="E279" s="16" t="s">
        <v>101</v>
      </c>
      <c r="F279" s="16" t="s">
        <v>156</v>
      </c>
      <c r="G279" s="16" t="s">
        <v>157</v>
      </c>
      <c r="H279" s="16" t="s">
        <v>85</v>
      </c>
      <c r="I279" s="16" t="s">
        <v>40</v>
      </c>
      <c r="J279" s="16" t="s">
        <v>296</v>
      </c>
      <c r="K279" s="16" t="s">
        <v>297</v>
      </c>
      <c r="L279" s="15">
        <v>-200039.96498299707</v>
      </c>
      <c r="M279" s="15">
        <v>-3183.04814115</v>
      </c>
      <c r="N279" s="15">
        <v>-199962.595004</v>
      </c>
      <c r="O279" s="15">
        <v>-77.369978997070575</v>
      </c>
      <c r="P279" s="15">
        <v>-77.369978997070575</v>
      </c>
      <c r="Q279" s="15">
        <f t="shared" si="19"/>
        <v>-77.369978997070575</v>
      </c>
      <c r="R279" s="36">
        <v>0</v>
      </c>
      <c r="S279" s="15">
        <f t="shared" si="20"/>
        <v>-77.369978997070575</v>
      </c>
      <c r="T279" s="16"/>
      <c r="U279" s="26"/>
    </row>
    <row r="280" spans="1:21" x14ac:dyDescent="0.25">
      <c r="A280" s="16" t="s">
        <v>37</v>
      </c>
      <c r="B280" s="16" t="s">
        <v>269</v>
      </c>
      <c r="C280" s="16" t="s">
        <v>270</v>
      </c>
      <c r="D280" s="16" t="s">
        <v>100</v>
      </c>
      <c r="E280" s="16" t="s">
        <v>101</v>
      </c>
      <c r="F280" s="16" t="s">
        <v>156</v>
      </c>
      <c r="G280" s="16" t="s">
        <v>157</v>
      </c>
      <c r="H280" s="16" t="s">
        <v>85</v>
      </c>
      <c r="I280" s="16" t="s">
        <v>40</v>
      </c>
      <c r="J280" s="16" t="s">
        <v>124</v>
      </c>
      <c r="K280" s="16" t="s">
        <v>125</v>
      </c>
      <c r="L280" s="15">
        <v>-332.71611586127824</v>
      </c>
      <c r="M280" s="15">
        <v>0</v>
      </c>
      <c r="N280" s="15">
        <v>-278.8399999999998</v>
      </c>
      <c r="O280" s="15">
        <v>-53.876115861278436</v>
      </c>
      <c r="P280" s="15">
        <v>0</v>
      </c>
      <c r="Q280" s="15">
        <f t="shared" si="19"/>
        <v>0</v>
      </c>
      <c r="R280" s="36">
        <v>0</v>
      </c>
      <c r="S280" s="15">
        <f t="shared" si="20"/>
        <v>0</v>
      </c>
      <c r="T280" s="16"/>
      <c r="U280" s="16"/>
    </row>
    <row r="281" spans="1:21" x14ac:dyDescent="0.25">
      <c r="A281" s="16" t="s">
        <v>37</v>
      </c>
      <c r="B281" s="16" t="s">
        <v>261</v>
      </c>
      <c r="C281" s="16" t="s">
        <v>262</v>
      </c>
      <c r="D281" s="16" t="s">
        <v>100</v>
      </c>
      <c r="E281" s="16" t="s">
        <v>101</v>
      </c>
      <c r="F281" s="16" t="s">
        <v>156</v>
      </c>
      <c r="G281" s="16" t="s">
        <v>157</v>
      </c>
      <c r="H281" s="16" t="s">
        <v>85</v>
      </c>
      <c r="I281" s="16" t="s">
        <v>40</v>
      </c>
      <c r="J281" s="16" t="s">
        <v>124</v>
      </c>
      <c r="K281" s="16" t="s">
        <v>125</v>
      </c>
      <c r="L281" s="15">
        <v>-2657.5101595999995</v>
      </c>
      <c r="M281" s="15">
        <v>0</v>
      </c>
      <c r="N281" s="15">
        <v>-2629.4092247296003</v>
      </c>
      <c r="O281" s="15">
        <v>-28.10093487039984</v>
      </c>
      <c r="P281" s="15">
        <v>0</v>
      </c>
      <c r="Q281" s="15">
        <f t="shared" si="19"/>
        <v>0</v>
      </c>
      <c r="R281" s="36">
        <v>0</v>
      </c>
      <c r="S281" s="15">
        <f t="shared" si="20"/>
        <v>0</v>
      </c>
      <c r="T281" s="16"/>
      <c r="U281" s="16"/>
    </row>
    <row r="282" spans="1:21" x14ac:dyDescent="0.25">
      <c r="A282" s="16" t="s">
        <v>37</v>
      </c>
      <c r="B282" s="16" t="s">
        <v>257</v>
      </c>
      <c r="C282" s="16" t="s">
        <v>258</v>
      </c>
      <c r="D282" s="16" t="s">
        <v>100</v>
      </c>
      <c r="E282" s="16" t="s">
        <v>101</v>
      </c>
      <c r="F282" s="16" t="s">
        <v>156</v>
      </c>
      <c r="G282" s="16" t="s">
        <v>157</v>
      </c>
      <c r="H282" s="16" t="s">
        <v>85</v>
      </c>
      <c r="I282" s="16" t="s">
        <v>40</v>
      </c>
      <c r="J282" s="16" t="s">
        <v>124</v>
      </c>
      <c r="K282" s="16" t="s">
        <v>125</v>
      </c>
      <c r="L282" s="15">
        <v>-178.12910000000002</v>
      </c>
      <c r="M282" s="15">
        <v>0</v>
      </c>
      <c r="N282" s="15">
        <v>-134.864924</v>
      </c>
      <c r="O282" s="15">
        <v>-43.264176000000006</v>
      </c>
      <c r="P282" s="15">
        <v>0</v>
      </c>
      <c r="Q282" s="15">
        <f t="shared" si="19"/>
        <v>0</v>
      </c>
      <c r="R282" s="36">
        <v>0</v>
      </c>
      <c r="S282" s="15">
        <f t="shared" si="20"/>
        <v>0</v>
      </c>
      <c r="T282" s="16"/>
      <c r="U282" s="26"/>
    </row>
    <row r="283" spans="1:21" x14ac:dyDescent="0.25">
      <c r="A283" s="16" t="s">
        <v>37</v>
      </c>
      <c r="B283" s="16" t="s">
        <v>257</v>
      </c>
      <c r="C283" s="16" t="s">
        <v>258</v>
      </c>
      <c r="D283" s="16" t="s">
        <v>100</v>
      </c>
      <c r="E283" s="16" t="s">
        <v>101</v>
      </c>
      <c r="F283" s="16" t="s">
        <v>156</v>
      </c>
      <c r="G283" s="16" t="s">
        <v>157</v>
      </c>
      <c r="H283" s="16" t="s">
        <v>85</v>
      </c>
      <c r="I283" s="16" t="s">
        <v>40</v>
      </c>
      <c r="J283" s="16" t="s">
        <v>298</v>
      </c>
      <c r="K283" s="16" t="s">
        <v>299</v>
      </c>
      <c r="L283" s="15">
        <v>-6197.5597686400006</v>
      </c>
      <c r="M283" s="15">
        <v>-253.79738400000011</v>
      </c>
      <c r="N283" s="15">
        <v>-3933.2913476599997</v>
      </c>
      <c r="O283" s="15">
        <v>-2264.2684209799986</v>
      </c>
      <c r="P283" s="15">
        <v>-2264.2684209799986</v>
      </c>
      <c r="Q283" s="15">
        <f t="shared" si="19"/>
        <v>-2264.2684209799986</v>
      </c>
      <c r="R283" s="36">
        <v>0</v>
      </c>
      <c r="S283" s="15">
        <f t="shared" si="20"/>
        <v>-2264.2684209799986</v>
      </c>
      <c r="T283" s="16"/>
      <c r="U283" s="26"/>
    </row>
    <row r="284" spans="1:21" x14ac:dyDescent="0.25">
      <c r="A284" s="16" t="s">
        <v>37</v>
      </c>
      <c r="B284" s="16" t="s">
        <v>269</v>
      </c>
      <c r="C284" s="16" t="s">
        <v>270</v>
      </c>
      <c r="D284" s="16" t="s">
        <v>100</v>
      </c>
      <c r="E284" s="16" t="s">
        <v>101</v>
      </c>
      <c r="F284" s="16" t="s">
        <v>156</v>
      </c>
      <c r="G284" s="16" t="s">
        <v>157</v>
      </c>
      <c r="H284" s="16" t="s">
        <v>85</v>
      </c>
      <c r="I284" s="16" t="s">
        <v>40</v>
      </c>
      <c r="J284" s="16" t="s">
        <v>132</v>
      </c>
      <c r="K284" s="16" t="s">
        <v>133</v>
      </c>
      <c r="L284" s="15">
        <v>-11223.642949642268</v>
      </c>
      <c r="M284" s="15">
        <v>-11223.642949642268</v>
      </c>
      <c r="N284" s="15">
        <v>-11223.6399979531</v>
      </c>
      <c r="O284" s="15">
        <v>-2.9516891686398594E-3</v>
      </c>
      <c r="P284" s="15">
        <v>0</v>
      </c>
      <c r="Q284" s="15">
        <f t="shared" si="19"/>
        <v>0</v>
      </c>
      <c r="R284" s="36">
        <v>0</v>
      </c>
      <c r="S284" s="15">
        <f t="shared" si="20"/>
        <v>0</v>
      </c>
      <c r="T284" s="16"/>
      <c r="U284" s="16"/>
    </row>
    <row r="285" spans="1:21" x14ac:dyDescent="0.25">
      <c r="A285" s="16" t="s">
        <v>37</v>
      </c>
      <c r="B285" s="16" t="s">
        <v>269</v>
      </c>
      <c r="C285" s="16" t="s">
        <v>270</v>
      </c>
      <c r="D285" s="16" t="s">
        <v>100</v>
      </c>
      <c r="E285" s="16" t="s">
        <v>101</v>
      </c>
      <c r="F285" s="16" t="s">
        <v>156</v>
      </c>
      <c r="G285" s="16" t="s">
        <v>157</v>
      </c>
      <c r="H285" s="16" t="s">
        <v>85</v>
      </c>
      <c r="I285" s="16" t="s">
        <v>40</v>
      </c>
      <c r="J285" s="16" t="s">
        <v>64</v>
      </c>
      <c r="K285" s="16" t="s">
        <v>65</v>
      </c>
      <c r="L285" s="15">
        <v>-17156.401955659559</v>
      </c>
      <c r="M285" s="15">
        <v>0</v>
      </c>
      <c r="N285" s="15">
        <v>-15041.949976164544</v>
      </c>
      <c r="O285" s="15">
        <v>-2114.4519794950102</v>
      </c>
      <c r="P285" s="15">
        <v>-2114.4519794950102</v>
      </c>
      <c r="Q285" s="15">
        <f t="shared" si="19"/>
        <v>-2114.4519794950102</v>
      </c>
      <c r="R285" s="36">
        <v>0</v>
      </c>
      <c r="S285" s="15">
        <f t="shared" si="20"/>
        <v>-2114.4519794950102</v>
      </c>
      <c r="T285" s="16"/>
      <c r="U285" s="16"/>
    </row>
    <row r="286" spans="1:21" x14ac:dyDescent="0.25">
      <c r="A286" s="16" t="s">
        <v>37</v>
      </c>
      <c r="B286" s="16" t="s">
        <v>269</v>
      </c>
      <c r="C286" s="16" t="s">
        <v>270</v>
      </c>
      <c r="D286" s="16" t="s">
        <v>100</v>
      </c>
      <c r="E286" s="16" t="s">
        <v>101</v>
      </c>
      <c r="F286" s="16" t="s">
        <v>156</v>
      </c>
      <c r="G286" s="16" t="s">
        <v>157</v>
      </c>
      <c r="H286" s="16" t="s">
        <v>85</v>
      </c>
      <c r="I286" s="16" t="s">
        <v>40</v>
      </c>
      <c r="J286" s="16" t="s">
        <v>66</v>
      </c>
      <c r="K286" s="16" t="s">
        <v>63</v>
      </c>
      <c r="L286" s="15">
        <v>-5911.1321866264789</v>
      </c>
      <c r="M286" s="15">
        <v>-5911.1321866264789</v>
      </c>
      <c r="N286" s="15">
        <v>-5911.129994987894</v>
      </c>
      <c r="O286" s="15">
        <v>-2.1916385838949282E-3</v>
      </c>
      <c r="P286" s="15">
        <v>0</v>
      </c>
      <c r="Q286" s="15">
        <f t="shared" si="19"/>
        <v>0</v>
      </c>
      <c r="R286" s="36">
        <v>0</v>
      </c>
      <c r="S286" s="15">
        <f t="shared" si="20"/>
        <v>0</v>
      </c>
      <c r="T286" s="16"/>
      <c r="U286" s="16"/>
    </row>
    <row r="287" spans="1:21" x14ac:dyDescent="0.25">
      <c r="A287" s="16" t="s">
        <v>37</v>
      </c>
      <c r="B287" s="16" t="s">
        <v>257</v>
      </c>
      <c r="C287" s="16" t="s">
        <v>258</v>
      </c>
      <c r="D287" s="16" t="s">
        <v>100</v>
      </c>
      <c r="E287" s="16" t="s">
        <v>101</v>
      </c>
      <c r="F287" s="16" t="s">
        <v>156</v>
      </c>
      <c r="G287" s="16" t="s">
        <v>157</v>
      </c>
      <c r="H287" s="16" t="s">
        <v>85</v>
      </c>
      <c r="I287" s="16" t="s">
        <v>40</v>
      </c>
      <c r="J287" s="16" t="s">
        <v>67</v>
      </c>
      <c r="K287" s="16" t="s">
        <v>68</v>
      </c>
      <c r="L287" s="15">
        <v>-3765</v>
      </c>
      <c r="M287" s="15">
        <v>0</v>
      </c>
      <c r="N287" s="15">
        <v>0</v>
      </c>
      <c r="O287" s="15">
        <v>-3765</v>
      </c>
      <c r="P287" s="15">
        <v>-3765</v>
      </c>
      <c r="Q287" s="15">
        <f t="shared" si="19"/>
        <v>-3765</v>
      </c>
      <c r="R287" s="36">
        <v>0</v>
      </c>
      <c r="S287" s="15">
        <f t="shared" si="20"/>
        <v>-3765</v>
      </c>
      <c r="T287" s="16"/>
      <c r="U287" s="26"/>
    </row>
    <row r="288" spans="1:21" x14ac:dyDescent="0.25">
      <c r="A288" s="16" t="s">
        <v>37</v>
      </c>
      <c r="B288" s="16" t="s">
        <v>269</v>
      </c>
      <c r="C288" s="16" t="s">
        <v>270</v>
      </c>
      <c r="D288" s="16" t="s">
        <v>100</v>
      </c>
      <c r="E288" s="16" t="s">
        <v>101</v>
      </c>
      <c r="F288" s="16" t="s">
        <v>156</v>
      </c>
      <c r="G288" s="16" t="s">
        <v>157</v>
      </c>
      <c r="H288" s="16" t="s">
        <v>85</v>
      </c>
      <c r="I288" s="16" t="s">
        <v>40</v>
      </c>
      <c r="J288" s="16" t="s">
        <v>69</v>
      </c>
      <c r="K288" s="16" t="s">
        <v>70</v>
      </c>
      <c r="L288" s="15">
        <v>-250.66932205931988</v>
      </c>
      <c r="M288" s="15">
        <v>-250.66932205931988</v>
      </c>
      <c r="N288" s="15">
        <v>-250.66999955519418</v>
      </c>
      <c r="O288" s="15">
        <v>6.7749587428522773E-4</v>
      </c>
      <c r="P288" s="15">
        <v>0</v>
      </c>
      <c r="Q288" s="15">
        <f t="shared" si="19"/>
        <v>0</v>
      </c>
      <c r="R288" s="36">
        <v>0</v>
      </c>
      <c r="S288" s="15">
        <f t="shared" si="20"/>
        <v>0</v>
      </c>
      <c r="T288" s="16"/>
      <c r="U288" s="15">
        <f t="shared" ref="U288:U290" si="21">O288</f>
        <v>6.7749587428522773E-4</v>
      </c>
    </row>
    <row r="289" spans="1:21" x14ac:dyDescent="0.25">
      <c r="A289" s="16" t="s">
        <v>37</v>
      </c>
      <c r="B289" s="16" t="s">
        <v>261</v>
      </c>
      <c r="C289" s="16" t="s">
        <v>262</v>
      </c>
      <c r="D289" s="16" t="s">
        <v>100</v>
      </c>
      <c r="E289" s="16" t="s">
        <v>101</v>
      </c>
      <c r="F289" s="16" t="s">
        <v>156</v>
      </c>
      <c r="G289" s="16" t="s">
        <v>157</v>
      </c>
      <c r="H289" s="16" t="s">
        <v>85</v>
      </c>
      <c r="I289" s="16" t="s">
        <v>40</v>
      </c>
      <c r="J289" s="16" t="s">
        <v>69</v>
      </c>
      <c r="K289" s="16" t="s">
        <v>70</v>
      </c>
      <c r="L289" s="15">
        <v>-187.07999995999998</v>
      </c>
      <c r="M289" s="15">
        <v>-187.07999999999998</v>
      </c>
      <c r="N289" s="15">
        <v>-224.5008</v>
      </c>
      <c r="O289" s="15">
        <v>37.420800040000003</v>
      </c>
      <c r="P289" s="15">
        <v>0</v>
      </c>
      <c r="Q289" s="15">
        <f t="shared" si="19"/>
        <v>0</v>
      </c>
      <c r="R289" s="36">
        <v>0</v>
      </c>
      <c r="S289" s="15">
        <f t="shared" si="20"/>
        <v>0</v>
      </c>
      <c r="T289" s="16"/>
      <c r="U289" s="15">
        <f t="shared" si="21"/>
        <v>37.420800040000003</v>
      </c>
    </row>
    <row r="290" spans="1:21" x14ac:dyDescent="0.25">
      <c r="A290" s="16" t="s">
        <v>37</v>
      </c>
      <c r="B290" s="16" t="s">
        <v>257</v>
      </c>
      <c r="C290" s="16" t="s">
        <v>258</v>
      </c>
      <c r="D290" s="16" t="s">
        <v>100</v>
      </c>
      <c r="E290" s="16" t="s">
        <v>101</v>
      </c>
      <c r="F290" s="16" t="s">
        <v>156</v>
      </c>
      <c r="G290" s="16" t="s">
        <v>157</v>
      </c>
      <c r="H290" s="16" t="s">
        <v>85</v>
      </c>
      <c r="I290" s="16" t="s">
        <v>40</v>
      </c>
      <c r="J290" s="16" t="s">
        <v>69</v>
      </c>
      <c r="K290" s="16" t="s">
        <v>70</v>
      </c>
      <c r="L290" s="15">
        <v>-2514.5643339999997</v>
      </c>
      <c r="M290" s="15">
        <v>-2514.5643339999997</v>
      </c>
      <c r="N290" s="15">
        <v>-2482.74016398</v>
      </c>
      <c r="O290" s="15">
        <v>-31.8241700199994</v>
      </c>
      <c r="P290" s="15">
        <v>0</v>
      </c>
      <c r="Q290" s="15">
        <f t="shared" si="19"/>
        <v>0</v>
      </c>
      <c r="R290" s="36">
        <v>0</v>
      </c>
      <c r="S290" s="15">
        <f t="shared" si="20"/>
        <v>0</v>
      </c>
      <c r="T290" s="16"/>
      <c r="U290" s="15">
        <f t="shared" si="21"/>
        <v>-31.8241700199994</v>
      </c>
    </row>
    <row r="291" spans="1:21" x14ac:dyDescent="0.25">
      <c r="A291" s="16" t="s">
        <v>37</v>
      </c>
      <c r="B291" s="16" t="s">
        <v>257</v>
      </c>
      <c r="C291" s="16" t="s">
        <v>258</v>
      </c>
      <c r="D291" s="16" t="s">
        <v>100</v>
      </c>
      <c r="E291" s="16" t="s">
        <v>101</v>
      </c>
      <c r="F291" s="16" t="s">
        <v>156</v>
      </c>
      <c r="G291" s="16" t="s">
        <v>157</v>
      </c>
      <c r="H291" s="16" t="s">
        <v>85</v>
      </c>
      <c r="I291" s="16" t="s">
        <v>40</v>
      </c>
      <c r="J291" s="16" t="s">
        <v>136</v>
      </c>
      <c r="K291" s="16" t="s">
        <v>137</v>
      </c>
      <c r="L291" s="15">
        <v>-54046.000000000022</v>
      </c>
      <c r="M291" s="15">
        <v>0</v>
      </c>
      <c r="N291" s="15">
        <v>-54046</v>
      </c>
      <c r="O291" s="15">
        <v>-2.1827872842550278E-11</v>
      </c>
      <c r="P291" s="15">
        <v>-2.1827872842550278E-11</v>
      </c>
      <c r="Q291" s="15">
        <f t="shared" si="19"/>
        <v>-2.1827872842550278E-11</v>
      </c>
      <c r="R291" s="36">
        <v>0</v>
      </c>
      <c r="S291" s="15">
        <f t="shared" si="20"/>
        <v>-2.1827872842550278E-11</v>
      </c>
      <c r="T291" s="16"/>
      <c r="U291" s="26"/>
    </row>
    <row r="292" spans="1:21" x14ac:dyDescent="0.25">
      <c r="A292" s="16" t="s">
        <v>37</v>
      </c>
      <c r="B292" s="16" t="s">
        <v>269</v>
      </c>
      <c r="C292" s="16" t="s">
        <v>270</v>
      </c>
      <c r="D292" s="16" t="s">
        <v>100</v>
      </c>
      <c r="E292" s="16" t="s">
        <v>101</v>
      </c>
      <c r="F292" s="16" t="s">
        <v>158</v>
      </c>
      <c r="G292" s="16" t="s">
        <v>159</v>
      </c>
      <c r="H292" s="16" t="s">
        <v>85</v>
      </c>
      <c r="I292" s="16" t="s">
        <v>40</v>
      </c>
      <c r="J292" s="16" t="s">
        <v>38</v>
      </c>
      <c r="K292" s="16" t="s">
        <v>293</v>
      </c>
      <c r="L292" s="15">
        <v>-350670.35651756753</v>
      </c>
      <c r="M292" s="15">
        <v>-3346.7410996034696</v>
      </c>
      <c r="N292" s="15">
        <v>-425937.79893713398</v>
      </c>
      <c r="O292" s="15">
        <v>75267.442419566491</v>
      </c>
      <c r="P292" s="15">
        <f>O292</f>
        <v>75267.442419566491</v>
      </c>
      <c r="Q292" s="15">
        <f>P292-R292-75267</f>
        <v>0.44241956649057101</v>
      </c>
      <c r="R292" s="36">
        <v>0</v>
      </c>
      <c r="S292" s="15">
        <f t="shared" si="20"/>
        <v>0.44241956649057101</v>
      </c>
      <c r="T292" s="16"/>
      <c r="U292" s="16"/>
    </row>
    <row r="293" spans="1:21" x14ac:dyDescent="0.25">
      <c r="A293" s="16" t="s">
        <v>37</v>
      </c>
      <c r="B293" s="16" t="s">
        <v>265</v>
      </c>
      <c r="C293" s="16" t="s">
        <v>266</v>
      </c>
      <c r="D293" s="16" t="s">
        <v>100</v>
      </c>
      <c r="E293" s="16" t="s">
        <v>101</v>
      </c>
      <c r="F293" s="16" t="s">
        <v>158</v>
      </c>
      <c r="G293" s="16" t="s">
        <v>159</v>
      </c>
      <c r="H293" s="16" t="s">
        <v>85</v>
      </c>
      <c r="I293" s="16" t="s">
        <v>40</v>
      </c>
      <c r="J293" s="16" t="s">
        <v>38</v>
      </c>
      <c r="K293" s="16" t="s">
        <v>293</v>
      </c>
      <c r="L293" s="15">
        <v>-2281138.3601105814</v>
      </c>
      <c r="M293" s="15">
        <v>-184794.28027333718</v>
      </c>
      <c r="N293" s="15">
        <v>-1950742.3369407523</v>
      </c>
      <c r="O293" s="15">
        <v>-330396.02316982858</v>
      </c>
      <c r="P293" s="15">
        <v>-330396.02316982858</v>
      </c>
      <c r="Q293" s="15">
        <f t="shared" si="19"/>
        <v>-330396.02316982858</v>
      </c>
      <c r="R293" s="36">
        <v>0</v>
      </c>
      <c r="S293" s="15">
        <f t="shared" si="20"/>
        <v>-330396.02316982858</v>
      </c>
      <c r="T293" s="16"/>
      <c r="U293" s="16"/>
    </row>
    <row r="294" spans="1:21" x14ac:dyDescent="0.25">
      <c r="A294" s="16" t="s">
        <v>37</v>
      </c>
      <c r="B294" s="16" t="s">
        <v>261</v>
      </c>
      <c r="C294" s="16" t="s">
        <v>262</v>
      </c>
      <c r="D294" s="16" t="s">
        <v>100</v>
      </c>
      <c r="E294" s="16" t="s">
        <v>101</v>
      </c>
      <c r="F294" s="16" t="s">
        <v>158</v>
      </c>
      <c r="G294" s="16" t="s">
        <v>159</v>
      </c>
      <c r="H294" s="16" t="s">
        <v>85</v>
      </c>
      <c r="I294" s="16" t="s">
        <v>40</v>
      </c>
      <c r="J294" s="16" t="s">
        <v>38</v>
      </c>
      <c r="K294" s="16" t="s">
        <v>293</v>
      </c>
      <c r="L294" s="15">
        <v>-2006909.5633346019</v>
      </c>
      <c r="M294" s="15">
        <v>-302105.9800000001</v>
      </c>
      <c r="N294" s="15">
        <v>-1761084.6034512641</v>
      </c>
      <c r="O294" s="15">
        <v>-245824.95988333825</v>
      </c>
      <c r="P294" s="15">
        <v>-245824.95988333825</v>
      </c>
      <c r="Q294" s="15">
        <f t="shared" si="19"/>
        <v>-245824.95988333825</v>
      </c>
      <c r="R294" s="36">
        <v>0</v>
      </c>
      <c r="S294" s="15">
        <f t="shared" si="20"/>
        <v>-245824.95988333825</v>
      </c>
      <c r="T294" s="16"/>
      <c r="U294" s="16"/>
    </row>
    <row r="295" spans="1:21" x14ac:dyDescent="0.25">
      <c r="A295" s="16" t="s">
        <v>37</v>
      </c>
      <c r="B295" s="16" t="s">
        <v>257</v>
      </c>
      <c r="C295" s="16" t="s">
        <v>258</v>
      </c>
      <c r="D295" s="16" t="s">
        <v>100</v>
      </c>
      <c r="E295" s="16" t="s">
        <v>101</v>
      </c>
      <c r="F295" s="16" t="s">
        <v>158</v>
      </c>
      <c r="G295" s="16" t="s">
        <v>159</v>
      </c>
      <c r="H295" s="16" t="s">
        <v>85</v>
      </c>
      <c r="I295" s="16" t="s">
        <v>40</v>
      </c>
      <c r="J295" s="16" t="s">
        <v>38</v>
      </c>
      <c r="K295" s="16" t="s">
        <v>293</v>
      </c>
      <c r="L295" s="15">
        <v>-8192376.3632892268</v>
      </c>
      <c r="M295" s="15">
        <v>-1316791.2857990065</v>
      </c>
      <c r="N295" s="15">
        <v>-4239680.8200947586</v>
      </c>
      <c r="O295" s="15">
        <v>-3952695.5431944667</v>
      </c>
      <c r="P295" s="15">
        <v>-3952695.5431944667</v>
      </c>
      <c r="Q295" s="15">
        <f>P295-R295+P292</f>
        <v>-3877428.1007749001</v>
      </c>
      <c r="R295" s="36">
        <v>0</v>
      </c>
      <c r="S295" s="15">
        <f t="shared" si="20"/>
        <v>-3877428.1007749001</v>
      </c>
      <c r="T295" s="16"/>
      <c r="U295" s="26"/>
    </row>
    <row r="296" spans="1:21" x14ac:dyDescent="0.25">
      <c r="A296" s="16" t="s">
        <v>37</v>
      </c>
      <c r="B296" s="16" t="s">
        <v>257</v>
      </c>
      <c r="C296" s="16" t="s">
        <v>258</v>
      </c>
      <c r="D296" s="16" t="s">
        <v>100</v>
      </c>
      <c r="E296" s="16" t="s">
        <v>101</v>
      </c>
      <c r="F296" s="16" t="s">
        <v>158</v>
      </c>
      <c r="G296" s="16" t="s">
        <v>159</v>
      </c>
      <c r="H296" s="16" t="s">
        <v>85</v>
      </c>
      <c r="I296" s="16" t="s">
        <v>40</v>
      </c>
      <c r="J296" s="16" t="s">
        <v>142</v>
      </c>
      <c r="K296" s="16" t="s">
        <v>143</v>
      </c>
      <c r="L296" s="15">
        <v>-8696843.3640000001</v>
      </c>
      <c r="M296" s="15">
        <v>-4230201.5</v>
      </c>
      <c r="N296" s="15">
        <v>-2948427.13</v>
      </c>
      <c r="O296" s="15">
        <v>-5748416.2340000002</v>
      </c>
      <c r="P296" s="15">
        <v>-4466641.8640000001</v>
      </c>
      <c r="Q296" s="15">
        <f t="shared" si="19"/>
        <v>-4466641.8640000001</v>
      </c>
      <c r="R296" s="36">
        <v>0</v>
      </c>
      <c r="S296" s="15">
        <f t="shared" si="20"/>
        <v>-4466641.8640000001</v>
      </c>
      <c r="T296" s="16"/>
      <c r="U296" s="26"/>
    </row>
    <row r="297" spans="1:21" x14ac:dyDescent="0.25">
      <c r="A297" s="16" t="s">
        <v>37</v>
      </c>
      <c r="B297" s="16" t="s">
        <v>269</v>
      </c>
      <c r="C297" s="16" t="s">
        <v>270</v>
      </c>
      <c r="D297" s="16" t="s">
        <v>100</v>
      </c>
      <c r="E297" s="16" t="s">
        <v>101</v>
      </c>
      <c r="F297" s="16" t="s">
        <v>158</v>
      </c>
      <c r="G297" s="16" t="s">
        <v>159</v>
      </c>
      <c r="H297" s="16" t="s">
        <v>85</v>
      </c>
      <c r="I297" s="16" t="s">
        <v>40</v>
      </c>
      <c r="J297" s="16" t="s">
        <v>130</v>
      </c>
      <c r="K297" s="16" t="s">
        <v>131</v>
      </c>
      <c r="L297" s="15">
        <v>-17758.650000061316</v>
      </c>
      <c r="M297" s="15">
        <v>-17758.650000061316</v>
      </c>
      <c r="N297" s="15">
        <v>0</v>
      </c>
      <c r="O297" s="15">
        <v>-17758.650000061316</v>
      </c>
      <c r="P297" s="15">
        <v>-17758.650000061316</v>
      </c>
      <c r="Q297" s="15">
        <f t="shared" si="19"/>
        <v>-17758.650000061316</v>
      </c>
      <c r="R297" s="36">
        <v>0</v>
      </c>
      <c r="S297" s="15">
        <f t="shared" si="20"/>
        <v>-17758.650000061316</v>
      </c>
      <c r="T297" s="16"/>
      <c r="U297" s="16"/>
    </row>
    <row r="298" spans="1:21" x14ac:dyDescent="0.25">
      <c r="A298" s="16" t="s">
        <v>37</v>
      </c>
      <c r="B298" s="16" t="s">
        <v>257</v>
      </c>
      <c r="C298" s="16" t="s">
        <v>258</v>
      </c>
      <c r="D298" s="16" t="s">
        <v>100</v>
      </c>
      <c r="E298" s="16" t="s">
        <v>101</v>
      </c>
      <c r="F298" s="16" t="s">
        <v>158</v>
      </c>
      <c r="G298" s="16" t="s">
        <v>159</v>
      </c>
      <c r="H298" s="16" t="s">
        <v>85</v>
      </c>
      <c r="I298" s="16" t="s">
        <v>40</v>
      </c>
      <c r="J298" s="16" t="s">
        <v>296</v>
      </c>
      <c r="K298" s="16" t="s">
        <v>297</v>
      </c>
      <c r="L298" s="15">
        <v>-7015.7269882530982</v>
      </c>
      <c r="M298" s="15">
        <v>-164.99519215000001</v>
      </c>
      <c r="N298" s="15">
        <v>-6760.75792</v>
      </c>
      <c r="O298" s="15">
        <v>-254.96906825309998</v>
      </c>
      <c r="P298" s="15">
        <v>-254.96906825309998</v>
      </c>
      <c r="Q298" s="15">
        <f t="shared" si="19"/>
        <v>-254.96906825309998</v>
      </c>
      <c r="R298" s="36">
        <v>0</v>
      </c>
      <c r="S298" s="15">
        <f t="shared" si="20"/>
        <v>-254.96906825309998</v>
      </c>
      <c r="T298" s="16"/>
      <c r="U298" s="26"/>
    </row>
    <row r="299" spans="1:21" x14ac:dyDescent="0.25">
      <c r="A299" s="16" t="s">
        <v>37</v>
      </c>
      <c r="B299" s="16" t="s">
        <v>269</v>
      </c>
      <c r="C299" s="16" t="s">
        <v>270</v>
      </c>
      <c r="D299" s="16" t="s">
        <v>100</v>
      </c>
      <c r="E299" s="16" t="s">
        <v>101</v>
      </c>
      <c r="F299" s="16" t="s">
        <v>158</v>
      </c>
      <c r="G299" s="16" t="s">
        <v>159</v>
      </c>
      <c r="H299" s="16" t="s">
        <v>85</v>
      </c>
      <c r="I299" s="16" t="s">
        <v>40</v>
      </c>
      <c r="J299" s="16" t="s">
        <v>124</v>
      </c>
      <c r="K299" s="16" t="s">
        <v>125</v>
      </c>
      <c r="L299" s="15">
        <v>-1748.581094210097</v>
      </c>
      <c r="M299" s="15">
        <v>0</v>
      </c>
      <c r="N299" s="15">
        <v>-1251.7799999999991</v>
      </c>
      <c r="O299" s="15">
        <v>-496.8010942100974</v>
      </c>
      <c r="P299" s="15">
        <v>0</v>
      </c>
      <c r="Q299" s="15">
        <f t="shared" si="19"/>
        <v>0</v>
      </c>
      <c r="R299" s="36">
        <v>0</v>
      </c>
      <c r="S299" s="15">
        <f t="shared" si="20"/>
        <v>0</v>
      </c>
      <c r="T299" s="16"/>
      <c r="U299" s="16"/>
    </row>
    <row r="300" spans="1:21" x14ac:dyDescent="0.25">
      <c r="A300" s="16" t="s">
        <v>37</v>
      </c>
      <c r="B300" s="16" t="s">
        <v>265</v>
      </c>
      <c r="C300" s="16" t="s">
        <v>266</v>
      </c>
      <c r="D300" s="16" t="s">
        <v>100</v>
      </c>
      <c r="E300" s="16" t="s">
        <v>101</v>
      </c>
      <c r="F300" s="16" t="s">
        <v>158</v>
      </c>
      <c r="G300" s="16" t="s">
        <v>159</v>
      </c>
      <c r="H300" s="16" t="s">
        <v>85</v>
      </c>
      <c r="I300" s="16" t="s">
        <v>40</v>
      </c>
      <c r="J300" s="16" t="s">
        <v>124</v>
      </c>
      <c r="K300" s="16" t="s">
        <v>125</v>
      </c>
      <c r="L300" s="15">
        <v>-167100.34283386247</v>
      </c>
      <c r="M300" s="15">
        <v>0</v>
      </c>
      <c r="N300" s="15">
        <v>-133652.98158624273</v>
      </c>
      <c r="O300" s="15">
        <v>-33447.361247619694</v>
      </c>
      <c r="P300" s="15">
        <v>0</v>
      </c>
      <c r="Q300" s="15">
        <f t="shared" si="19"/>
        <v>0</v>
      </c>
      <c r="R300" s="36">
        <v>0</v>
      </c>
      <c r="S300" s="15">
        <f t="shared" si="20"/>
        <v>0</v>
      </c>
      <c r="T300" s="16"/>
      <c r="U300" s="16"/>
    </row>
    <row r="301" spans="1:21" x14ac:dyDescent="0.25">
      <c r="A301" s="16" t="s">
        <v>37</v>
      </c>
      <c r="B301" s="16" t="s">
        <v>261</v>
      </c>
      <c r="C301" s="16" t="s">
        <v>262</v>
      </c>
      <c r="D301" s="16" t="s">
        <v>100</v>
      </c>
      <c r="E301" s="16" t="s">
        <v>101</v>
      </c>
      <c r="F301" s="16" t="s">
        <v>158</v>
      </c>
      <c r="G301" s="16" t="s">
        <v>159</v>
      </c>
      <c r="H301" s="16" t="s">
        <v>85</v>
      </c>
      <c r="I301" s="16" t="s">
        <v>40</v>
      </c>
      <c r="J301" s="16" t="s">
        <v>124</v>
      </c>
      <c r="K301" s="16" t="s">
        <v>125</v>
      </c>
      <c r="L301" s="15">
        <v>-96214.07520580999</v>
      </c>
      <c r="M301" s="15">
        <v>0</v>
      </c>
      <c r="N301" s="15">
        <v>-78653.756737646414</v>
      </c>
      <c r="O301" s="15">
        <v>-17560.31846816359</v>
      </c>
      <c r="P301" s="15">
        <v>0</v>
      </c>
      <c r="Q301" s="15">
        <f t="shared" si="19"/>
        <v>0</v>
      </c>
      <c r="R301" s="36">
        <v>0</v>
      </c>
      <c r="S301" s="15">
        <f t="shared" si="20"/>
        <v>0</v>
      </c>
      <c r="T301" s="16"/>
      <c r="U301" s="16"/>
    </row>
    <row r="302" spans="1:21" x14ac:dyDescent="0.25">
      <c r="A302" s="16" t="s">
        <v>37</v>
      </c>
      <c r="B302" s="16" t="s">
        <v>257</v>
      </c>
      <c r="C302" s="16" t="s">
        <v>258</v>
      </c>
      <c r="D302" s="16" t="s">
        <v>100</v>
      </c>
      <c r="E302" s="16" t="s">
        <v>101</v>
      </c>
      <c r="F302" s="16" t="s">
        <v>158</v>
      </c>
      <c r="G302" s="16" t="s">
        <v>159</v>
      </c>
      <c r="H302" s="16" t="s">
        <v>85</v>
      </c>
      <c r="I302" s="16" t="s">
        <v>40</v>
      </c>
      <c r="J302" s="16" t="s">
        <v>124</v>
      </c>
      <c r="K302" s="16" t="s">
        <v>125</v>
      </c>
      <c r="L302" s="15">
        <v>-199.56049999999999</v>
      </c>
      <c r="M302" s="15">
        <v>0</v>
      </c>
      <c r="N302" s="15">
        <v>-151.10341399999999</v>
      </c>
      <c r="O302" s="15">
        <v>-48.45708599999999</v>
      </c>
      <c r="P302" s="15">
        <v>0</v>
      </c>
      <c r="Q302" s="15">
        <f t="shared" si="19"/>
        <v>0</v>
      </c>
      <c r="R302" s="36">
        <v>0</v>
      </c>
      <c r="S302" s="15">
        <f t="shared" si="20"/>
        <v>0</v>
      </c>
      <c r="T302" s="16"/>
      <c r="U302" s="26"/>
    </row>
    <row r="303" spans="1:21" x14ac:dyDescent="0.25">
      <c r="A303" s="16" t="s">
        <v>37</v>
      </c>
      <c r="B303" s="16" t="s">
        <v>257</v>
      </c>
      <c r="C303" s="16" t="s">
        <v>258</v>
      </c>
      <c r="D303" s="16" t="s">
        <v>100</v>
      </c>
      <c r="E303" s="16" t="s">
        <v>101</v>
      </c>
      <c r="F303" s="16" t="s">
        <v>158</v>
      </c>
      <c r="G303" s="16" t="s">
        <v>159</v>
      </c>
      <c r="H303" s="16" t="s">
        <v>85</v>
      </c>
      <c r="I303" s="16" t="s">
        <v>40</v>
      </c>
      <c r="J303" s="16" t="s">
        <v>298</v>
      </c>
      <c r="K303" s="16" t="s">
        <v>299</v>
      </c>
      <c r="L303" s="15">
        <v>-11163.688846320003</v>
      </c>
      <c r="M303" s="15">
        <v>-456.9778740000001</v>
      </c>
      <c r="N303" s="15">
        <v>-7078.3110736617982</v>
      </c>
      <c r="O303" s="15">
        <v>-4085.3777726582034</v>
      </c>
      <c r="P303" s="15">
        <v>-4085.3777726582034</v>
      </c>
      <c r="Q303" s="15">
        <f t="shared" si="19"/>
        <v>-4085.3777726582034</v>
      </c>
      <c r="R303" s="36">
        <v>0</v>
      </c>
      <c r="S303" s="15">
        <f t="shared" si="20"/>
        <v>-4085.3777726582034</v>
      </c>
      <c r="T303" s="16"/>
      <c r="U303" s="26"/>
    </row>
    <row r="304" spans="1:21" x14ac:dyDescent="0.25">
      <c r="A304" s="16" t="s">
        <v>37</v>
      </c>
      <c r="B304" s="16" t="s">
        <v>269</v>
      </c>
      <c r="C304" s="16" t="s">
        <v>270</v>
      </c>
      <c r="D304" s="16" t="s">
        <v>100</v>
      </c>
      <c r="E304" s="16" t="s">
        <v>101</v>
      </c>
      <c r="F304" s="16" t="s">
        <v>158</v>
      </c>
      <c r="G304" s="16" t="s">
        <v>159</v>
      </c>
      <c r="H304" s="16" t="s">
        <v>85</v>
      </c>
      <c r="I304" s="16" t="s">
        <v>40</v>
      </c>
      <c r="J304" s="16" t="s">
        <v>132</v>
      </c>
      <c r="K304" s="16" t="s">
        <v>133</v>
      </c>
      <c r="L304" s="15">
        <v>-48281.162778849706</v>
      </c>
      <c r="M304" s="15">
        <v>-48281.162778849706</v>
      </c>
      <c r="N304" s="15">
        <v>-48281.169991194765</v>
      </c>
      <c r="O304" s="15">
        <v>7.212345067273418E-3</v>
      </c>
      <c r="P304" s="15">
        <v>0</v>
      </c>
      <c r="Q304" s="15">
        <f t="shared" si="19"/>
        <v>0</v>
      </c>
      <c r="R304" s="36">
        <v>0</v>
      </c>
      <c r="S304" s="15">
        <f t="shared" si="20"/>
        <v>0</v>
      </c>
      <c r="T304" s="16"/>
      <c r="U304" s="16"/>
    </row>
    <row r="305" spans="1:21" x14ac:dyDescent="0.25">
      <c r="A305" s="16" t="s">
        <v>37</v>
      </c>
      <c r="B305" s="16" t="s">
        <v>269</v>
      </c>
      <c r="C305" s="16" t="s">
        <v>270</v>
      </c>
      <c r="D305" s="16" t="s">
        <v>100</v>
      </c>
      <c r="E305" s="16" t="s">
        <v>101</v>
      </c>
      <c r="F305" s="16" t="s">
        <v>158</v>
      </c>
      <c r="G305" s="16" t="s">
        <v>159</v>
      </c>
      <c r="H305" s="16" t="s">
        <v>85</v>
      </c>
      <c r="I305" s="16" t="s">
        <v>40</v>
      </c>
      <c r="J305" s="16" t="s">
        <v>64</v>
      </c>
      <c r="K305" s="16" t="s">
        <v>65</v>
      </c>
      <c r="L305" s="15">
        <v>-104248.26447450178</v>
      </c>
      <c r="M305" s="15">
        <v>0</v>
      </c>
      <c r="N305" s="15">
        <v>-97748.279845108191</v>
      </c>
      <c r="O305" s="15">
        <v>-6499.9846293935816</v>
      </c>
      <c r="P305" s="15">
        <v>-6499.9846293935816</v>
      </c>
      <c r="Q305" s="15">
        <f t="shared" si="19"/>
        <v>-6499.9846293935816</v>
      </c>
      <c r="R305" s="36">
        <v>0</v>
      </c>
      <c r="S305" s="15">
        <f t="shared" si="20"/>
        <v>-6499.9846293935816</v>
      </c>
      <c r="T305" s="16"/>
      <c r="U305" s="16"/>
    </row>
    <row r="306" spans="1:21" x14ac:dyDescent="0.25">
      <c r="A306" s="16" t="s">
        <v>37</v>
      </c>
      <c r="B306" s="16" t="s">
        <v>269</v>
      </c>
      <c r="C306" s="16" t="s">
        <v>270</v>
      </c>
      <c r="D306" s="16" t="s">
        <v>100</v>
      </c>
      <c r="E306" s="16" t="s">
        <v>101</v>
      </c>
      <c r="F306" s="16" t="s">
        <v>158</v>
      </c>
      <c r="G306" s="16" t="s">
        <v>159</v>
      </c>
      <c r="H306" s="16" t="s">
        <v>85</v>
      </c>
      <c r="I306" s="16" t="s">
        <v>40</v>
      </c>
      <c r="J306" s="16" t="s">
        <v>66</v>
      </c>
      <c r="K306" s="16" t="s">
        <v>63</v>
      </c>
      <c r="L306" s="15">
        <v>-50363.076552686252</v>
      </c>
      <c r="M306" s="15">
        <v>-50363.076552686252</v>
      </c>
      <c r="N306" s="15">
        <v>-50363.059957296675</v>
      </c>
      <c r="O306" s="15">
        <v>-1.6595389580288611E-2</v>
      </c>
      <c r="P306" s="15">
        <v>0</v>
      </c>
      <c r="Q306" s="15">
        <f t="shared" si="19"/>
        <v>0</v>
      </c>
      <c r="R306" s="36">
        <v>0</v>
      </c>
      <c r="S306" s="15">
        <f t="shared" si="20"/>
        <v>0</v>
      </c>
      <c r="T306" s="16"/>
      <c r="U306" s="16"/>
    </row>
    <row r="307" spans="1:21" x14ac:dyDescent="0.25">
      <c r="A307" s="16" t="s">
        <v>37</v>
      </c>
      <c r="B307" s="16" t="s">
        <v>269</v>
      </c>
      <c r="C307" s="16" t="s">
        <v>270</v>
      </c>
      <c r="D307" s="16" t="s">
        <v>100</v>
      </c>
      <c r="E307" s="16" t="s">
        <v>101</v>
      </c>
      <c r="F307" s="16" t="s">
        <v>158</v>
      </c>
      <c r="G307" s="16" t="s">
        <v>159</v>
      </c>
      <c r="H307" s="16" t="s">
        <v>85</v>
      </c>
      <c r="I307" s="16" t="s">
        <v>40</v>
      </c>
      <c r="J307" s="16" t="s">
        <v>67</v>
      </c>
      <c r="K307" s="16" t="s">
        <v>68</v>
      </c>
      <c r="L307" s="15">
        <v>-2100</v>
      </c>
      <c r="M307" s="15">
        <v>0</v>
      </c>
      <c r="N307" s="15">
        <v>-2012.33</v>
      </c>
      <c r="O307" s="15">
        <v>-87.670000000000073</v>
      </c>
      <c r="P307" s="15">
        <v>-87.670000000000073</v>
      </c>
      <c r="Q307" s="15">
        <f t="shared" si="19"/>
        <v>-87.670000000000073</v>
      </c>
      <c r="R307" s="36">
        <v>0</v>
      </c>
      <c r="S307" s="15">
        <f t="shared" si="20"/>
        <v>-87.670000000000073</v>
      </c>
      <c r="T307" s="16"/>
      <c r="U307" s="16"/>
    </row>
    <row r="308" spans="1:21" x14ac:dyDescent="0.25">
      <c r="A308" s="16" t="s">
        <v>37</v>
      </c>
      <c r="B308" s="16" t="s">
        <v>257</v>
      </c>
      <c r="C308" s="16" t="s">
        <v>258</v>
      </c>
      <c r="D308" s="16" t="s">
        <v>100</v>
      </c>
      <c r="E308" s="16" t="s">
        <v>101</v>
      </c>
      <c r="F308" s="16" t="s">
        <v>158</v>
      </c>
      <c r="G308" s="16" t="s">
        <v>159</v>
      </c>
      <c r="H308" s="16" t="s">
        <v>85</v>
      </c>
      <c r="I308" s="16" t="s">
        <v>40</v>
      </c>
      <c r="J308" s="16" t="s">
        <v>67</v>
      </c>
      <c r="K308" s="16" t="s">
        <v>68</v>
      </c>
      <c r="L308" s="15">
        <v>-6454.9999999999991</v>
      </c>
      <c r="M308" s="15">
        <v>0</v>
      </c>
      <c r="N308" s="15">
        <v>0</v>
      </c>
      <c r="O308" s="15">
        <v>-6454.9999999999991</v>
      </c>
      <c r="P308" s="15">
        <v>-6454.9999999999991</v>
      </c>
      <c r="Q308" s="15">
        <f t="shared" si="19"/>
        <v>-6454.9999999999991</v>
      </c>
      <c r="R308" s="36">
        <v>0</v>
      </c>
      <c r="S308" s="15">
        <f t="shared" si="20"/>
        <v>-6454.9999999999991</v>
      </c>
      <c r="T308" s="16"/>
      <c r="U308" s="26"/>
    </row>
    <row r="309" spans="1:21" x14ac:dyDescent="0.25">
      <c r="A309" s="16" t="s">
        <v>37</v>
      </c>
      <c r="B309" s="16" t="s">
        <v>269</v>
      </c>
      <c r="C309" s="16" t="s">
        <v>270</v>
      </c>
      <c r="D309" s="16" t="s">
        <v>100</v>
      </c>
      <c r="E309" s="16" t="s">
        <v>101</v>
      </c>
      <c r="F309" s="16" t="s">
        <v>158</v>
      </c>
      <c r="G309" s="16" t="s">
        <v>159</v>
      </c>
      <c r="H309" s="16" t="s">
        <v>85</v>
      </c>
      <c r="I309" s="16" t="s">
        <v>40</v>
      </c>
      <c r="J309" s="16" t="s">
        <v>69</v>
      </c>
      <c r="K309" s="16" t="s">
        <v>70</v>
      </c>
      <c r="L309" s="15">
        <v>-2083.5078108136386</v>
      </c>
      <c r="M309" s="15">
        <v>-2083.5078108136386</v>
      </c>
      <c r="N309" s="15">
        <v>-2083.5099963028792</v>
      </c>
      <c r="O309" s="15">
        <v>2.1854892401904635E-3</v>
      </c>
      <c r="P309" s="15">
        <v>0</v>
      </c>
      <c r="Q309" s="15">
        <f t="shared" si="19"/>
        <v>0</v>
      </c>
      <c r="R309" s="36">
        <v>0</v>
      </c>
      <c r="S309" s="15">
        <f t="shared" si="20"/>
        <v>0</v>
      </c>
      <c r="T309" s="16"/>
      <c r="U309" s="15">
        <f t="shared" ref="U309:U311" si="22">O309</f>
        <v>2.1854892401904635E-3</v>
      </c>
    </row>
    <row r="310" spans="1:21" x14ac:dyDescent="0.25">
      <c r="A310" s="16" t="s">
        <v>37</v>
      </c>
      <c r="B310" s="16" t="s">
        <v>261</v>
      </c>
      <c r="C310" s="16" t="s">
        <v>262</v>
      </c>
      <c r="D310" s="16" t="s">
        <v>100</v>
      </c>
      <c r="E310" s="16" t="s">
        <v>101</v>
      </c>
      <c r="F310" s="16" t="s">
        <v>158</v>
      </c>
      <c r="G310" s="16" t="s">
        <v>159</v>
      </c>
      <c r="H310" s="16" t="s">
        <v>85</v>
      </c>
      <c r="I310" s="16" t="s">
        <v>40</v>
      </c>
      <c r="J310" s="16" t="s">
        <v>69</v>
      </c>
      <c r="K310" s="16" t="s">
        <v>70</v>
      </c>
      <c r="L310" s="15">
        <v>-9443.0799979809999</v>
      </c>
      <c r="M310" s="15">
        <v>-9443.08</v>
      </c>
      <c r="N310" s="15">
        <v>-9737.7222000000002</v>
      </c>
      <c r="O310" s="15">
        <v>294.64220201900116</v>
      </c>
      <c r="P310" s="15">
        <v>0</v>
      </c>
      <c r="Q310" s="15">
        <f t="shared" si="19"/>
        <v>0</v>
      </c>
      <c r="R310" s="36">
        <v>0</v>
      </c>
      <c r="S310" s="15">
        <f t="shared" si="20"/>
        <v>0</v>
      </c>
      <c r="T310" s="16"/>
      <c r="U310" s="15">
        <f t="shared" si="22"/>
        <v>294.64220201900116</v>
      </c>
    </row>
    <row r="311" spans="1:21" x14ac:dyDescent="0.25">
      <c r="A311" s="16" t="s">
        <v>37</v>
      </c>
      <c r="B311" s="16" t="s">
        <v>257</v>
      </c>
      <c r="C311" s="16" t="s">
        <v>258</v>
      </c>
      <c r="D311" s="16" t="s">
        <v>100</v>
      </c>
      <c r="E311" s="16" t="s">
        <v>101</v>
      </c>
      <c r="F311" s="16" t="s">
        <v>158</v>
      </c>
      <c r="G311" s="16" t="s">
        <v>159</v>
      </c>
      <c r="H311" s="16" t="s">
        <v>85</v>
      </c>
      <c r="I311" s="16" t="s">
        <v>40</v>
      </c>
      <c r="J311" s="16" t="s">
        <v>69</v>
      </c>
      <c r="K311" s="16" t="s">
        <v>70</v>
      </c>
      <c r="L311" s="15">
        <v>-4301.723524</v>
      </c>
      <c r="M311" s="15">
        <v>-4301.723524</v>
      </c>
      <c r="N311" s="15">
        <v>-4247.2811782800018</v>
      </c>
      <c r="O311" s="15">
        <v>-54.442345719998684</v>
      </c>
      <c r="P311" s="15">
        <v>0</v>
      </c>
      <c r="Q311" s="15">
        <f t="shared" si="19"/>
        <v>0</v>
      </c>
      <c r="R311" s="36">
        <v>0</v>
      </c>
      <c r="S311" s="15">
        <f t="shared" si="20"/>
        <v>0</v>
      </c>
      <c r="T311" s="16"/>
      <c r="U311" s="15">
        <f t="shared" si="22"/>
        <v>-54.442345719998684</v>
      </c>
    </row>
    <row r="312" spans="1:21" x14ac:dyDescent="0.25">
      <c r="A312" s="16" t="s">
        <v>37</v>
      </c>
      <c r="B312" s="16" t="s">
        <v>257</v>
      </c>
      <c r="C312" s="16" t="s">
        <v>258</v>
      </c>
      <c r="D312" s="16" t="s">
        <v>100</v>
      </c>
      <c r="E312" s="16" t="s">
        <v>101</v>
      </c>
      <c r="F312" s="16" t="s">
        <v>158</v>
      </c>
      <c r="G312" s="16" t="s">
        <v>159</v>
      </c>
      <c r="H312" s="16" t="s">
        <v>85</v>
      </c>
      <c r="I312" s="16" t="s">
        <v>40</v>
      </c>
      <c r="J312" s="16" t="s">
        <v>136</v>
      </c>
      <c r="K312" s="16" t="s">
        <v>137</v>
      </c>
      <c r="L312" s="15">
        <v>-60558.100000000035</v>
      </c>
      <c r="M312" s="15">
        <v>0</v>
      </c>
      <c r="N312" s="15">
        <v>-60558.100000000006</v>
      </c>
      <c r="O312" s="15">
        <v>-3.092281986027956E-11</v>
      </c>
      <c r="P312" s="15">
        <v>-3.092281986027956E-11</v>
      </c>
      <c r="Q312" s="15">
        <f t="shared" si="19"/>
        <v>-3.092281986027956E-11</v>
      </c>
      <c r="R312" s="36">
        <v>0</v>
      </c>
      <c r="S312" s="15">
        <f t="shared" si="20"/>
        <v>-3.092281986027956E-11</v>
      </c>
      <c r="T312" s="16"/>
      <c r="U312" s="26"/>
    </row>
    <row r="313" spans="1:21" x14ac:dyDescent="0.25">
      <c r="A313" s="16" t="s">
        <v>37</v>
      </c>
      <c r="B313" s="16" t="s">
        <v>265</v>
      </c>
      <c r="C313" s="16" t="s">
        <v>266</v>
      </c>
      <c r="D313" s="16" t="s">
        <v>100</v>
      </c>
      <c r="E313" s="16" t="s">
        <v>101</v>
      </c>
      <c r="F313" s="16" t="s">
        <v>158</v>
      </c>
      <c r="G313" s="16" t="s">
        <v>159</v>
      </c>
      <c r="H313" s="16" t="s">
        <v>85</v>
      </c>
      <c r="I313" s="16" t="s">
        <v>40</v>
      </c>
      <c r="J313" s="16" t="s">
        <v>138</v>
      </c>
      <c r="K313" s="16" t="s">
        <v>139</v>
      </c>
      <c r="L313" s="15">
        <v>-1844.5306047294632</v>
      </c>
      <c r="M313" s="15">
        <v>0</v>
      </c>
      <c r="N313" s="15">
        <v>-1844.530604729463</v>
      </c>
      <c r="O313" s="15">
        <v>-7.815970093361102E-14</v>
      </c>
      <c r="P313" s="15">
        <v>0</v>
      </c>
      <c r="Q313" s="15">
        <f t="shared" si="19"/>
        <v>0</v>
      </c>
      <c r="R313" s="36">
        <v>0</v>
      </c>
      <c r="S313" s="15">
        <f t="shared" si="20"/>
        <v>0</v>
      </c>
      <c r="T313" s="16"/>
      <c r="U313" s="16"/>
    </row>
    <row r="314" spans="1:21" x14ac:dyDescent="0.25">
      <c r="A314" s="16" t="s">
        <v>37</v>
      </c>
      <c r="B314" s="16" t="s">
        <v>269</v>
      </c>
      <c r="C314" s="16" t="s">
        <v>270</v>
      </c>
      <c r="D314" s="16" t="s">
        <v>100</v>
      </c>
      <c r="E314" s="16" t="s">
        <v>101</v>
      </c>
      <c r="F314" s="16" t="s">
        <v>160</v>
      </c>
      <c r="G314" s="16" t="s">
        <v>161</v>
      </c>
      <c r="H314" s="16" t="s">
        <v>85</v>
      </c>
      <c r="I314" s="16" t="s">
        <v>40</v>
      </c>
      <c r="J314" s="16" t="s">
        <v>38</v>
      </c>
      <c r="K314" s="16" t="s">
        <v>293</v>
      </c>
      <c r="L314" s="15">
        <v>-758714.28776314389</v>
      </c>
      <c r="M314" s="15">
        <v>-74929.96640269905</v>
      </c>
      <c r="N314" s="15">
        <v>-643323.870134025</v>
      </c>
      <c r="O314" s="15">
        <v>-115390.41762911901</v>
      </c>
      <c r="P314" s="15">
        <v>-115390.41762911901</v>
      </c>
      <c r="Q314" s="15">
        <f>P314+115390</f>
        <v>-0.41762911900877953</v>
      </c>
      <c r="R314" s="36">
        <v>0</v>
      </c>
      <c r="S314" s="15">
        <f t="shared" si="20"/>
        <v>-0.41762911900877953</v>
      </c>
      <c r="T314" s="16"/>
      <c r="U314" s="16"/>
    </row>
    <row r="315" spans="1:21" x14ac:dyDescent="0.25">
      <c r="A315" s="16" t="s">
        <v>37</v>
      </c>
      <c r="B315" s="16" t="s">
        <v>265</v>
      </c>
      <c r="C315" s="16" t="s">
        <v>266</v>
      </c>
      <c r="D315" s="16" t="s">
        <v>100</v>
      </c>
      <c r="E315" s="16" t="s">
        <v>101</v>
      </c>
      <c r="F315" s="16" t="s">
        <v>160</v>
      </c>
      <c r="G315" s="16" t="s">
        <v>161</v>
      </c>
      <c r="H315" s="16" t="s">
        <v>85</v>
      </c>
      <c r="I315" s="16" t="s">
        <v>40</v>
      </c>
      <c r="J315" s="16" t="s">
        <v>38</v>
      </c>
      <c r="K315" s="16" t="s">
        <v>293</v>
      </c>
      <c r="L315" s="15">
        <v>-7211899.9464389114</v>
      </c>
      <c r="M315" s="15">
        <v>-830951.00000000012</v>
      </c>
      <c r="N315" s="15">
        <v>-6251350.177001833</v>
      </c>
      <c r="O315" s="15">
        <v>-960549.76943707652</v>
      </c>
      <c r="P315" s="15">
        <v>-960549.76943707652</v>
      </c>
      <c r="Q315" s="15">
        <f t="shared" si="19"/>
        <v>-960549.76943707652</v>
      </c>
      <c r="R315" s="36">
        <v>0</v>
      </c>
      <c r="S315" s="15">
        <f t="shared" si="20"/>
        <v>-960549.76943707652</v>
      </c>
      <c r="T315" s="16"/>
      <c r="U315" s="16"/>
    </row>
    <row r="316" spans="1:21" x14ac:dyDescent="0.25">
      <c r="A316" s="16" t="s">
        <v>37</v>
      </c>
      <c r="B316" s="16" t="s">
        <v>261</v>
      </c>
      <c r="C316" s="16" t="s">
        <v>262</v>
      </c>
      <c r="D316" s="16" t="s">
        <v>100</v>
      </c>
      <c r="E316" s="16" t="s">
        <v>101</v>
      </c>
      <c r="F316" s="16" t="s">
        <v>160</v>
      </c>
      <c r="G316" s="16" t="s">
        <v>161</v>
      </c>
      <c r="H316" s="16" t="s">
        <v>85</v>
      </c>
      <c r="I316" s="16" t="s">
        <v>40</v>
      </c>
      <c r="J316" s="16" t="s">
        <v>38</v>
      </c>
      <c r="K316" s="16" t="s">
        <v>293</v>
      </c>
      <c r="L316" s="15">
        <v>-1001257.1595100525</v>
      </c>
      <c r="M316" s="15">
        <v>-88.32</v>
      </c>
      <c r="N316" s="15">
        <v>-981154.79403050733</v>
      </c>
      <c r="O316" s="15">
        <v>-20102.365479545435</v>
      </c>
      <c r="P316" s="15">
        <v>-20102.365479545435</v>
      </c>
      <c r="Q316" s="15">
        <f t="shared" si="19"/>
        <v>-20102.365479545435</v>
      </c>
      <c r="R316" s="36">
        <v>0</v>
      </c>
      <c r="S316" s="15">
        <f t="shared" si="20"/>
        <v>-20102.365479545435</v>
      </c>
      <c r="T316" s="16"/>
      <c r="U316" s="16"/>
    </row>
    <row r="317" spans="1:21" x14ac:dyDescent="0.25">
      <c r="A317" s="16" t="s">
        <v>37</v>
      </c>
      <c r="B317" s="16" t="s">
        <v>257</v>
      </c>
      <c r="C317" s="16" t="s">
        <v>258</v>
      </c>
      <c r="D317" s="16" t="s">
        <v>100</v>
      </c>
      <c r="E317" s="16" t="s">
        <v>101</v>
      </c>
      <c r="F317" s="16" t="s">
        <v>160</v>
      </c>
      <c r="G317" s="16" t="s">
        <v>161</v>
      </c>
      <c r="H317" s="16" t="s">
        <v>85</v>
      </c>
      <c r="I317" s="16" t="s">
        <v>40</v>
      </c>
      <c r="J317" s="16" t="s">
        <v>38</v>
      </c>
      <c r="K317" s="16" t="s">
        <v>293</v>
      </c>
      <c r="L317" s="15">
        <v>-2597604.3775692745</v>
      </c>
      <c r="M317" s="15">
        <v>-676917.35105543374</v>
      </c>
      <c r="N317" s="15">
        <v>-1809766.96387624</v>
      </c>
      <c r="O317" s="15">
        <v>-787837.41369303502</v>
      </c>
      <c r="P317" s="15">
        <v>-787837.41369303502</v>
      </c>
      <c r="Q317" s="15">
        <f>P317-R317+P314+4541.19</f>
        <v>-898686.64132215409</v>
      </c>
      <c r="R317" s="36">
        <v>0</v>
      </c>
      <c r="S317" s="15">
        <f t="shared" si="20"/>
        <v>-898686.64132215409</v>
      </c>
      <c r="T317" s="16"/>
      <c r="U317" s="26"/>
    </row>
    <row r="318" spans="1:21" x14ac:dyDescent="0.25">
      <c r="A318" s="16" t="s">
        <v>37</v>
      </c>
      <c r="B318" s="16" t="s">
        <v>257</v>
      </c>
      <c r="C318" s="16" t="s">
        <v>258</v>
      </c>
      <c r="D318" s="16" t="s">
        <v>100</v>
      </c>
      <c r="E318" s="16" t="s">
        <v>101</v>
      </c>
      <c r="F318" s="16" t="s">
        <v>160</v>
      </c>
      <c r="G318" s="16" t="s">
        <v>161</v>
      </c>
      <c r="H318" s="16" t="s">
        <v>85</v>
      </c>
      <c r="I318" s="16" t="s">
        <v>40</v>
      </c>
      <c r="J318" s="16" t="s">
        <v>300</v>
      </c>
      <c r="K318" s="16" t="s">
        <v>301</v>
      </c>
      <c r="L318" s="15">
        <v>-8050.8474576271183</v>
      </c>
      <c r="M318" s="15">
        <v>0</v>
      </c>
      <c r="N318" s="15">
        <v>-13050.850000000002</v>
      </c>
      <c r="O318" s="15">
        <v>5000.0025423728821</v>
      </c>
      <c r="P318" s="15">
        <f>O318</f>
        <v>5000.0025423728821</v>
      </c>
      <c r="Q318" s="15">
        <v>0</v>
      </c>
      <c r="R318" s="36">
        <v>0</v>
      </c>
      <c r="S318" s="15">
        <f t="shared" si="20"/>
        <v>0</v>
      </c>
      <c r="T318" s="16"/>
      <c r="U318" s="26"/>
    </row>
    <row r="319" spans="1:21" x14ac:dyDescent="0.25">
      <c r="A319" s="16" t="s">
        <v>37</v>
      </c>
      <c r="B319" s="16" t="s">
        <v>257</v>
      </c>
      <c r="C319" s="16" t="s">
        <v>258</v>
      </c>
      <c r="D319" s="16" t="s">
        <v>100</v>
      </c>
      <c r="E319" s="16" t="s">
        <v>101</v>
      </c>
      <c r="F319" s="16" t="s">
        <v>160</v>
      </c>
      <c r="G319" s="16" t="s">
        <v>161</v>
      </c>
      <c r="H319" s="16" t="s">
        <v>85</v>
      </c>
      <c r="I319" s="16" t="s">
        <v>40</v>
      </c>
      <c r="J319" s="16" t="s">
        <v>142</v>
      </c>
      <c r="K319" s="16" t="s">
        <v>143</v>
      </c>
      <c r="L319" s="15">
        <v>-9151.155999999999</v>
      </c>
      <c r="M319" s="15">
        <v>0</v>
      </c>
      <c r="N319" s="15">
        <v>0</v>
      </c>
      <c r="O319" s="15">
        <v>-9151.155999999999</v>
      </c>
      <c r="P319" s="15">
        <v>-9151.155999999999</v>
      </c>
      <c r="Q319" s="15">
        <f t="shared" si="19"/>
        <v>-9151.155999999999</v>
      </c>
      <c r="R319" s="36">
        <v>0</v>
      </c>
      <c r="S319" s="15">
        <f t="shared" si="20"/>
        <v>-9151.155999999999</v>
      </c>
      <c r="T319" s="16"/>
      <c r="U319" s="26"/>
    </row>
    <row r="320" spans="1:21" x14ac:dyDescent="0.25">
      <c r="A320" s="16" t="s">
        <v>37</v>
      </c>
      <c r="B320" s="16" t="s">
        <v>269</v>
      </c>
      <c r="C320" s="16" t="s">
        <v>270</v>
      </c>
      <c r="D320" s="16" t="s">
        <v>100</v>
      </c>
      <c r="E320" s="16" t="s">
        <v>101</v>
      </c>
      <c r="F320" s="16" t="s">
        <v>160</v>
      </c>
      <c r="G320" s="16" t="s">
        <v>161</v>
      </c>
      <c r="H320" s="16" t="s">
        <v>85</v>
      </c>
      <c r="I320" s="16" t="s">
        <v>40</v>
      </c>
      <c r="J320" s="16" t="s">
        <v>130</v>
      </c>
      <c r="K320" s="16" t="s">
        <v>131</v>
      </c>
      <c r="L320" s="15">
        <v>-37370.020000129021</v>
      </c>
      <c r="M320" s="15">
        <v>-37370.020000129021</v>
      </c>
      <c r="N320" s="15">
        <v>-31244</v>
      </c>
      <c r="O320" s="15">
        <v>-6126.0200001290232</v>
      </c>
      <c r="P320" s="15">
        <v>-6126.0200001290232</v>
      </c>
      <c r="Q320" s="15">
        <f t="shared" si="19"/>
        <v>-6126.0200001290232</v>
      </c>
      <c r="R320" s="36">
        <v>0</v>
      </c>
      <c r="S320" s="15">
        <f t="shared" si="20"/>
        <v>-6126.0200001290232</v>
      </c>
      <c r="T320" s="16"/>
      <c r="U320" s="16"/>
    </row>
    <row r="321" spans="1:21" x14ac:dyDescent="0.25">
      <c r="A321" s="16" t="s">
        <v>37</v>
      </c>
      <c r="B321" s="16" t="s">
        <v>257</v>
      </c>
      <c r="C321" s="16" t="s">
        <v>258</v>
      </c>
      <c r="D321" s="16" t="s">
        <v>100</v>
      </c>
      <c r="E321" s="16" t="s">
        <v>101</v>
      </c>
      <c r="F321" s="16" t="s">
        <v>160</v>
      </c>
      <c r="G321" s="16" t="s">
        <v>161</v>
      </c>
      <c r="H321" s="16" t="s">
        <v>85</v>
      </c>
      <c r="I321" s="16" t="s">
        <v>40</v>
      </c>
      <c r="J321" s="16" t="s">
        <v>296</v>
      </c>
      <c r="K321" s="16" t="s">
        <v>297</v>
      </c>
      <c r="L321" s="15">
        <v>-74122.2099432994</v>
      </c>
      <c r="M321" s="15">
        <v>-3168.3332761000001</v>
      </c>
      <c r="N321" s="15">
        <v>-73904.209575999994</v>
      </c>
      <c r="O321" s="15">
        <v>-218.00036729940621</v>
      </c>
      <c r="P321" s="15">
        <v>-218.00036729940621</v>
      </c>
      <c r="Q321" s="15">
        <f t="shared" si="19"/>
        <v>-218.00036729940621</v>
      </c>
      <c r="R321" s="36">
        <v>0</v>
      </c>
      <c r="S321" s="15">
        <f t="shared" si="20"/>
        <v>-218.00036729940621</v>
      </c>
      <c r="T321" s="16"/>
      <c r="U321" s="26"/>
    </row>
    <row r="322" spans="1:21" x14ac:dyDescent="0.25">
      <c r="A322" s="16" t="s">
        <v>37</v>
      </c>
      <c r="B322" s="16" t="s">
        <v>269</v>
      </c>
      <c r="C322" s="16" t="s">
        <v>270</v>
      </c>
      <c r="D322" s="16" t="s">
        <v>100</v>
      </c>
      <c r="E322" s="16" t="s">
        <v>101</v>
      </c>
      <c r="F322" s="16" t="s">
        <v>160</v>
      </c>
      <c r="G322" s="16" t="s">
        <v>161</v>
      </c>
      <c r="H322" s="16" t="s">
        <v>85</v>
      </c>
      <c r="I322" s="16" t="s">
        <v>40</v>
      </c>
      <c r="J322" s="16" t="s">
        <v>124</v>
      </c>
      <c r="K322" s="16" t="s">
        <v>125</v>
      </c>
      <c r="L322" s="15">
        <v>-2642.4256773969646</v>
      </c>
      <c r="M322" s="15">
        <v>0</v>
      </c>
      <c r="N322" s="15">
        <v>-1827.0099999999989</v>
      </c>
      <c r="O322" s="15">
        <v>-815.41567739696575</v>
      </c>
      <c r="P322" s="15">
        <v>0</v>
      </c>
      <c r="Q322" s="15">
        <f t="shared" si="19"/>
        <v>0</v>
      </c>
      <c r="R322" s="36">
        <v>0</v>
      </c>
      <c r="S322" s="15">
        <f t="shared" si="20"/>
        <v>0</v>
      </c>
      <c r="T322" s="16"/>
      <c r="U322" s="16"/>
    </row>
    <row r="323" spans="1:21" x14ac:dyDescent="0.25">
      <c r="A323" s="16" t="s">
        <v>37</v>
      </c>
      <c r="B323" s="16" t="s">
        <v>265</v>
      </c>
      <c r="C323" s="16" t="s">
        <v>266</v>
      </c>
      <c r="D323" s="16" t="s">
        <v>100</v>
      </c>
      <c r="E323" s="16" t="s">
        <v>101</v>
      </c>
      <c r="F323" s="16" t="s">
        <v>160</v>
      </c>
      <c r="G323" s="16" t="s">
        <v>161</v>
      </c>
      <c r="H323" s="16" t="s">
        <v>85</v>
      </c>
      <c r="I323" s="16" t="s">
        <v>40</v>
      </c>
      <c r="J323" s="16" t="s">
        <v>124</v>
      </c>
      <c r="K323" s="16" t="s">
        <v>125</v>
      </c>
      <c r="L323" s="15">
        <v>-597783.81376678299</v>
      </c>
      <c r="M323" s="15">
        <v>0</v>
      </c>
      <c r="N323" s="15">
        <v>-466905.43004973268</v>
      </c>
      <c r="O323" s="15">
        <v>-130878.38371705041</v>
      </c>
      <c r="P323" s="15">
        <v>0</v>
      </c>
      <c r="Q323" s="15">
        <f t="shared" si="19"/>
        <v>0</v>
      </c>
      <c r="R323" s="36">
        <v>0</v>
      </c>
      <c r="S323" s="15">
        <f t="shared" si="20"/>
        <v>0</v>
      </c>
      <c r="T323" s="16"/>
      <c r="U323" s="16"/>
    </row>
    <row r="324" spans="1:21" x14ac:dyDescent="0.25">
      <c r="A324" s="16" t="s">
        <v>37</v>
      </c>
      <c r="B324" s="16" t="s">
        <v>261</v>
      </c>
      <c r="C324" s="16" t="s">
        <v>262</v>
      </c>
      <c r="D324" s="16" t="s">
        <v>100</v>
      </c>
      <c r="E324" s="16" t="s">
        <v>101</v>
      </c>
      <c r="F324" s="16" t="s">
        <v>160</v>
      </c>
      <c r="G324" s="16" t="s">
        <v>161</v>
      </c>
      <c r="H324" s="16" t="s">
        <v>85</v>
      </c>
      <c r="I324" s="16" t="s">
        <v>40</v>
      </c>
      <c r="J324" s="16" t="s">
        <v>124</v>
      </c>
      <c r="K324" s="16" t="s">
        <v>125</v>
      </c>
      <c r="L324" s="15">
        <v>-61624.329715939995</v>
      </c>
      <c r="M324" s="15">
        <v>0</v>
      </c>
      <c r="N324" s="15">
        <v>-50414.320611345596</v>
      </c>
      <c r="O324" s="15">
        <v>-11210.009104594392</v>
      </c>
      <c r="P324" s="15">
        <v>0</v>
      </c>
      <c r="Q324" s="15">
        <f t="shared" si="19"/>
        <v>0</v>
      </c>
      <c r="R324" s="36">
        <v>0</v>
      </c>
      <c r="S324" s="15">
        <f t="shared" si="20"/>
        <v>0</v>
      </c>
      <c r="T324" s="16"/>
      <c r="U324" s="16"/>
    </row>
    <row r="325" spans="1:21" x14ac:dyDescent="0.25">
      <c r="A325" s="16" t="s">
        <v>37</v>
      </c>
      <c r="B325" s="16" t="s">
        <v>257</v>
      </c>
      <c r="C325" s="16" t="s">
        <v>258</v>
      </c>
      <c r="D325" s="16" t="s">
        <v>100</v>
      </c>
      <c r="E325" s="16" t="s">
        <v>101</v>
      </c>
      <c r="F325" s="16" t="s">
        <v>160</v>
      </c>
      <c r="G325" s="16" t="s">
        <v>161</v>
      </c>
      <c r="H325" s="16" t="s">
        <v>85</v>
      </c>
      <c r="I325" s="16" t="s">
        <v>40</v>
      </c>
      <c r="J325" s="16" t="s">
        <v>124</v>
      </c>
      <c r="K325" s="16" t="s">
        <v>125</v>
      </c>
      <c r="L325" s="15">
        <v>-142.56540000000001</v>
      </c>
      <c r="M325" s="15">
        <v>0</v>
      </c>
      <c r="N325" s="15">
        <v>-107.914728</v>
      </c>
      <c r="O325" s="15">
        <v>-34.650672000000007</v>
      </c>
      <c r="P325" s="15">
        <v>0</v>
      </c>
      <c r="Q325" s="15">
        <f t="shared" si="19"/>
        <v>0</v>
      </c>
      <c r="R325" s="36">
        <v>0</v>
      </c>
      <c r="S325" s="15">
        <f t="shared" si="20"/>
        <v>0</v>
      </c>
      <c r="T325" s="16"/>
      <c r="U325" s="26"/>
    </row>
    <row r="326" spans="1:21" x14ac:dyDescent="0.25">
      <c r="A326" s="16" t="s">
        <v>37</v>
      </c>
      <c r="B326" s="16" t="s">
        <v>257</v>
      </c>
      <c r="C326" s="16" t="s">
        <v>258</v>
      </c>
      <c r="D326" s="16" t="s">
        <v>100</v>
      </c>
      <c r="E326" s="16" t="s">
        <v>101</v>
      </c>
      <c r="F326" s="16" t="s">
        <v>160</v>
      </c>
      <c r="G326" s="16" t="s">
        <v>161</v>
      </c>
      <c r="H326" s="16" t="s">
        <v>85</v>
      </c>
      <c r="I326" s="16" t="s">
        <v>40</v>
      </c>
      <c r="J326" s="16" t="s">
        <v>298</v>
      </c>
      <c r="K326" s="16" t="s">
        <v>299</v>
      </c>
      <c r="L326" s="15">
        <v>-11038.288648640002</v>
      </c>
      <c r="M326" s="15">
        <v>-451.98747600000013</v>
      </c>
      <c r="N326" s="15">
        <v>-7003.772808710999</v>
      </c>
      <c r="O326" s="15">
        <v>-4034.5158399290044</v>
      </c>
      <c r="P326" s="15">
        <v>-4034.5158399290044</v>
      </c>
      <c r="Q326" s="15">
        <f t="shared" si="19"/>
        <v>-4034.5158399290044</v>
      </c>
      <c r="R326" s="36">
        <v>0</v>
      </c>
      <c r="S326" s="15">
        <f t="shared" si="20"/>
        <v>-4034.5158399290044</v>
      </c>
      <c r="T326" s="16"/>
      <c r="U326" s="26"/>
    </row>
    <row r="327" spans="1:21" x14ac:dyDescent="0.25">
      <c r="A327" s="16" t="s">
        <v>37</v>
      </c>
      <c r="B327" s="16" t="s">
        <v>269</v>
      </c>
      <c r="C327" s="16" t="s">
        <v>270</v>
      </c>
      <c r="D327" s="16" t="s">
        <v>100</v>
      </c>
      <c r="E327" s="16" t="s">
        <v>101</v>
      </c>
      <c r="F327" s="16" t="s">
        <v>160</v>
      </c>
      <c r="G327" s="16" t="s">
        <v>161</v>
      </c>
      <c r="H327" s="16" t="s">
        <v>85</v>
      </c>
      <c r="I327" s="16" t="s">
        <v>40</v>
      </c>
      <c r="J327" s="16" t="s">
        <v>132</v>
      </c>
      <c r="K327" s="16" t="s">
        <v>133</v>
      </c>
      <c r="L327" s="15">
        <v>-72707.093303160771</v>
      </c>
      <c r="M327" s="15">
        <v>-72707.093303160771</v>
      </c>
      <c r="N327" s="15">
        <v>-72707.099986740111</v>
      </c>
      <c r="O327" s="15">
        <v>6.683579344098689E-3</v>
      </c>
      <c r="P327" s="15">
        <v>0</v>
      </c>
      <c r="Q327" s="15">
        <f t="shared" si="19"/>
        <v>0</v>
      </c>
      <c r="R327" s="36">
        <v>0</v>
      </c>
      <c r="S327" s="15">
        <f t="shared" si="20"/>
        <v>0</v>
      </c>
      <c r="T327" s="16"/>
      <c r="U327" s="16"/>
    </row>
    <row r="328" spans="1:21" x14ac:dyDescent="0.25">
      <c r="A328" s="16" t="s">
        <v>37</v>
      </c>
      <c r="B328" s="16" t="s">
        <v>257</v>
      </c>
      <c r="C328" s="16" t="s">
        <v>258</v>
      </c>
      <c r="D328" s="16" t="s">
        <v>100</v>
      </c>
      <c r="E328" s="16" t="s">
        <v>101</v>
      </c>
      <c r="F328" s="16" t="s">
        <v>160</v>
      </c>
      <c r="G328" s="16" t="s">
        <v>161</v>
      </c>
      <c r="H328" s="16" t="s">
        <v>85</v>
      </c>
      <c r="I328" s="16" t="s">
        <v>40</v>
      </c>
      <c r="J328" s="16" t="s">
        <v>302</v>
      </c>
      <c r="K328" s="16" t="s">
        <v>303</v>
      </c>
      <c r="L328" s="15">
        <v>-16949.152521186443</v>
      </c>
      <c r="M328" s="15">
        <v>0</v>
      </c>
      <c r="N328" s="15">
        <v>-16489.92461304348</v>
      </c>
      <c r="O328" s="15">
        <v>-459.22790814296241</v>
      </c>
      <c r="P328" s="15">
        <v>-459.22790814296241</v>
      </c>
      <c r="Q328" s="15">
        <v>0</v>
      </c>
      <c r="R328" s="36">
        <v>0</v>
      </c>
      <c r="S328" s="15">
        <f t="shared" si="20"/>
        <v>0</v>
      </c>
      <c r="T328" s="16"/>
      <c r="U328" s="26"/>
    </row>
    <row r="329" spans="1:21" x14ac:dyDescent="0.25">
      <c r="A329" s="16" t="s">
        <v>37</v>
      </c>
      <c r="B329" s="16" t="s">
        <v>269</v>
      </c>
      <c r="C329" s="16" t="s">
        <v>270</v>
      </c>
      <c r="D329" s="16" t="s">
        <v>100</v>
      </c>
      <c r="E329" s="16" t="s">
        <v>101</v>
      </c>
      <c r="F329" s="16" t="s">
        <v>160</v>
      </c>
      <c r="G329" s="16" t="s">
        <v>161</v>
      </c>
      <c r="H329" s="16" t="s">
        <v>85</v>
      </c>
      <c r="I329" s="16" t="s">
        <v>40</v>
      </c>
      <c r="J329" s="16" t="s">
        <v>64</v>
      </c>
      <c r="K329" s="16" t="s">
        <v>65</v>
      </c>
      <c r="L329" s="15">
        <v>-222953.81658840569</v>
      </c>
      <c r="M329" s="15">
        <v>0</v>
      </c>
      <c r="N329" s="15">
        <v>-216453.81965700755</v>
      </c>
      <c r="O329" s="15">
        <v>-6499.9969313981674</v>
      </c>
      <c r="P329" s="15">
        <v>-6499.9969313981674</v>
      </c>
      <c r="Q329" s="15">
        <f t="shared" si="19"/>
        <v>-6499.9969313981674</v>
      </c>
      <c r="R329" s="36">
        <v>0</v>
      </c>
      <c r="S329" s="15">
        <f t="shared" si="20"/>
        <v>-6499.9969313981674</v>
      </c>
      <c r="T329" s="16"/>
      <c r="U329" s="16"/>
    </row>
    <row r="330" spans="1:21" x14ac:dyDescent="0.25">
      <c r="A330" s="16" t="s">
        <v>37</v>
      </c>
      <c r="B330" s="16" t="s">
        <v>269</v>
      </c>
      <c r="C330" s="16" t="s">
        <v>270</v>
      </c>
      <c r="D330" s="16" t="s">
        <v>100</v>
      </c>
      <c r="E330" s="16" t="s">
        <v>101</v>
      </c>
      <c r="F330" s="16" t="s">
        <v>160</v>
      </c>
      <c r="G330" s="16" t="s">
        <v>161</v>
      </c>
      <c r="H330" s="16" t="s">
        <v>85</v>
      </c>
      <c r="I330" s="16" t="s">
        <v>40</v>
      </c>
      <c r="J330" s="16" t="s">
        <v>66</v>
      </c>
      <c r="K330" s="16" t="s">
        <v>63</v>
      </c>
      <c r="L330" s="15">
        <v>-121482.85338161269</v>
      </c>
      <c r="M330" s="15">
        <v>-121482.85338161269</v>
      </c>
      <c r="N330" s="15">
        <v>-121482.8598969935</v>
      </c>
      <c r="O330" s="15">
        <v>6.5153807981914724E-3</v>
      </c>
      <c r="P330" s="15">
        <v>0</v>
      </c>
      <c r="Q330" s="15">
        <f t="shared" si="19"/>
        <v>0</v>
      </c>
      <c r="R330" s="36">
        <v>0</v>
      </c>
      <c r="S330" s="15">
        <f t="shared" si="20"/>
        <v>0</v>
      </c>
      <c r="T330" s="16"/>
      <c r="U330" s="16"/>
    </row>
    <row r="331" spans="1:21" x14ac:dyDescent="0.25">
      <c r="A331" s="16" t="s">
        <v>37</v>
      </c>
      <c r="B331" s="16" t="s">
        <v>257</v>
      </c>
      <c r="C331" s="16" t="s">
        <v>258</v>
      </c>
      <c r="D331" s="16" t="s">
        <v>100</v>
      </c>
      <c r="E331" s="16" t="s">
        <v>101</v>
      </c>
      <c r="F331" s="16" t="s">
        <v>160</v>
      </c>
      <c r="G331" s="16" t="s">
        <v>161</v>
      </c>
      <c r="H331" s="16" t="s">
        <v>85</v>
      </c>
      <c r="I331" s="16" t="s">
        <v>40</v>
      </c>
      <c r="J331" s="16" t="s">
        <v>67</v>
      </c>
      <c r="K331" s="16" t="s">
        <v>68</v>
      </c>
      <c r="L331" s="15">
        <v>-6245</v>
      </c>
      <c r="M331" s="15">
        <v>0</v>
      </c>
      <c r="N331" s="15">
        <v>0</v>
      </c>
      <c r="O331" s="15">
        <v>-6245</v>
      </c>
      <c r="P331" s="15">
        <v>-6245</v>
      </c>
      <c r="Q331" s="15">
        <f t="shared" si="19"/>
        <v>-6245</v>
      </c>
      <c r="R331" s="36">
        <v>0</v>
      </c>
      <c r="S331" s="15">
        <f t="shared" si="20"/>
        <v>-6245</v>
      </c>
      <c r="T331" s="16"/>
      <c r="U331" s="26"/>
    </row>
    <row r="332" spans="1:21" x14ac:dyDescent="0.25">
      <c r="A332" s="16" t="s">
        <v>37</v>
      </c>
      <c r="B332" s="16" t="s">
        <v>269</v>
      </c>
      <c r="C332" s="16" t="s">
        <v>270</v>
      </c>
      <c r="D332" s="16" t="s">
        <v>100</v>
      </c>
      <c r="E332" s="16" t="s">
        <v>101</v>
      </c>
      <c r="F332" s="16" t="s">
        <v>160</v>
      </c>
      <c r="G332" s="16" t="s">
        <v>161</v>
      </c>
      <c r="H332" s="16" t="s">
        <v>85</v>
      </c>
      <c r="I332" s="16" t="s">
        <v>40</v>
      </c>
      <c r="J332" s="16" t="s">
        <v>69</v>
      </c>
      <c r="K332" s="16" t="s">
        <v>70</v>
      </c>
      <c r="L332" s="15">
        <v>-14502.036135302107</v>
      </c>
      <c r="M332" s="15">
        <v>-14502.036135302107</v>
      </c>
      <c r="N332" s="15">
        <v>-14502.039974266601</v>
      </c>
      <c r="O332" s="15">
        <v>3.8389644942071754E-3</v>
      </c>
      <c r="P332" s="15">
        <v>0</v>
      </c>
      <c r="Q332" s="15">
        <f t="shared" si="19"/>
        <v>0</v>
      </c>
      <c r="R332" s="36">
        <v>0</v>
      </c>
      <c r="S332" s="15">
        <f t="shared" si="20"/>
        <v>0</v>
      </c>
      <c r="T332" s="16"/>
      <c r="U332" s="15">
        <f t="shared" ref="U332:U334" si="23">O332</f>
        <v>3.8389644942071754E-3</v>
      </c>
    </row>
    <row r="333" spans="1:21" x14ac:dyDescent="0.25">
      <c r="A333" s="16" t="s">
        <v>37</v>
      </c>
      <c r="B333" s="16" t="s">
        <v>261</v>
      </c>
      <c r="C333" s="16" t="s">
        <v>262</v>
      </c>
      <c r="D333" s="16" t="s">
        <v>100</v>
      </c>
      <c r="E333" s="16" t="s">
        <v>101</v>
      </c>
      <c r="F333" s="16" t="s">
        <v>160</v>
      </c>
      <c r="G333" s="16" t="s">
        <v>161</v>
      </c>
      <c r="H333" s="16" t="s">
        <v>85</v>
      </c>
      <c r="I333" s="16" t="s">
        <v>40</v>
      </c>
      <c r="J333" s="16" t="s">
        <v>69</v>
      </c>
      <c r="K333" s="16" t="s">
        <v>70</v>
      </c>
      <c r="L333" s="15">
        <v>-3769.7499991939999</v>
      </c>
      <c r="M333" s="15">
        <v>-3769.75</v>
      </c>
      <c r="N333" s="15">
        <v>-4106.4938000000002</v>
      </c>
      <c r="O333" s="15">
        <v>336.74380080600042</v>
      </c>
      <c r="P333" s="15">
        <v>0</v>
      </c>
      <c r="Q333" s="15">
        <f t="shared" si="19"/>
        <v>0</v>
      </c>
      <c r="R333" s="36">
        <v>0</v>
      </c>
      <c r="S333" s="15">
        <f t="shared" si="20"/>
        <v>0</v>
      </c>
      <c r="T333" s="16"/>
      <c r="U333" s="15">
        <f t="shared" si="23"/>
        <v>336.74380080600042</v>
      </c>
    </row>
    <row r="334" spans="1:21" x14ac:dyDescent="0.25">
      <c r="A334" s="16" t="s">
        <v>37</v>
      </c>
      <c r="B334" s="16" t="s">
        <v>257</v>
      </c>
      <c r="C334" s="16" t="s">
        <v>258</v>
      </c>
      <c r="D334" s="16" t="s">
        <v>100</v>
      </c>
      <c r="E334" s="16" t="s">
        <v>101</v>
      </c>
      <c r="F334" s="16" t="s">
        <v>160</v>
      </c>
      <c r="G334" s="16" t="s">
        <v>161</v>
      </c>
      <c r="H334" s="16" t="s">
        <v>85</v>
      </c>
      <c r="I334" s="16" t="s">
        <v>40</v>
      </c>
      <c r="J334" s="16" t="s">
        <v>69</v>
      </c>
      <c r="K334" s="16" t="s">
        <v>70</v>
      </c>
      <c r="L334" s="15">
        <v>-4163.7673759999989</v>
      </c>
      <c r="M334" s="15">
        <v>-4163.7673759999989</v>
      </c>
      <c r="N334" s="15">
        <v>-4111.0709947200003</v>
      </c>
      <c r="O334" s="15">
        <v>-52.696381279999429</v>
      </c>
      <c r="P334" s="15">
        <v>0</v>
      </c>
      <c r="Q334" s="15">
        <f t="shared" si="19"/>
        <v>0</v>
      </c>
      <c r="R334" s="36">
        <v>0</v>
      </c>
      <c r="S334" s="15">
        <f t="shared" si="20"/>
        <v>0</v>
      </c>
      <c r="T334" s="16"/>
      <c r="U334" s="15">
        <f t="shared" si="23"/>
        <v>-52.696381279999429</v>
      </c>
    </row>
    <row r="335" spans="1:21" x14ac:dyDescent="0.25">
      <c r="A335" s="16" t="s">
        <v>37</v>
      </c>
      <c r="B335" s="16" t="s">
        <v>257</v>
      </c>
      <c r="C335" s="16" t="s">
        <v>258</v>
      </c>
      <c r="D335" s="16" t="s">
        <v>100</v>
      </c>
      <c r="E335" s="16" t="s">
        <v>101</v>
      </c>
      <c r="F335" s="16" t="s">
        <v>160</v>
      </c>
      <c r="G335" s="16" t="s">
        <v>161</v>
      </c>
      <c r="H335" s="16" t="s">
        <v>85</v>
      </c>
      <c r="I335" s="16" t="s">
        <v>40</v>
      </c>
      <c r="J335" s="16" t="s">
        <v>136</v>
      </c>
      <c r="K335" s="16" t="s">
        <v>137</v>
      </c>
      <c r="L335" s="15">
        <v>-43236.800000000025</v>
      </c>
      <c r="M335" s="15">
        <v>0</v>
      </c>
      <c r="N335" s="15">
        <v>-43236.800000000003</v>
      </c>
      <c r="O335" s="15">
        <v>-2.1827872842550278E-11</v>
      </c>
      <c r="P335" s="15">
        <v>-2.1827872842550278E-11</v>
      </c>
      <c r="Q335" s="15">
        <f t="shared" ref="Q335:Q398" si="24">P335-R335</f>
        <v>-2.1827872842550278E-11</v>
      </c>
      <c r="R335" s="36">
        <v>0</v>
      </c>
      <c r="S335" s="15">
        <f t="shared" ref="S335:S398" si="25">SUM(Q335:R335)</f>
        <v>-2.1827872842550278E-11</v>
      </c>
      <c r="T335" s="16"/>
      <c r="U335" s="26"/>
    </row>
    <row r="336" spans="1:21" x14ac:dyDescent="0.25">
      <c r="A336" s="16" t="s">
        <v>37</v>
      </c>
      <c r="B336" s="16" t="s">
        <v>265</v>
      </c>
      <c r="C336" s="16" t="s">
        <v>266</v>
      </c>
      <c r="D336" s="16" t="s">
        <v>100</v>
      </c>
      <c r="E336" s="16" t="s">
        <v>101</v>
      </c>
      <c r="F336" s="16" t="s">
        <v>160</v>
      </c>
      <c r="G336" s="16" t="s">
        <v>161</v>
      </c>
      <c r="H336" s="16" t="s">
        <v>85</v>
      </c>
      <c r="I336" s="16" t="s">
        <v>40</v>
      </c>
      <c r="J336" s="16" t="s">
        <v>138</v>
      </c>
      <c r="K336" s="16" t="s">
        <v>139</v>
      </c>
      <c r="L336" s="15">
        <v>-4894.1305205565932</v>
      </c>
      <c r="M336" s="15">
        <v>0</v>
      </c>
      <c r="N336" s="15">
        <v>-4894.1305205565932</v>
      </c>
      <c r="O336" s="15">
        <v>-2.2737367544323206E-13</v>
      </c>
      <c r="P336" s="15">
        <v>0</v>
      </c>
      <c r="Q336" s="15">
        <f t="shared" si="24"/>
        <v>0</v>
      </c>
      <c r="R336" s="36">
        <v>0</v>
      </c>
      <c r="S336" s="15">
        <f t="shared" si="25"/>
        <v>0</v>
      </c>
      <c r="T336" s="16"/>
      <c r="U336" s="16"/>
    </row>
    <row r="337" spans="1:21" x14ac:dyDescent="0.25">
      <c r="A337" s="16" t="s">
        <v>37</v>
      </c>
      <c r="B337" s="16" t="s">
        <v>269</v>
      </c>
      <c r="C337" s="16" t="s">
        <v>270</v>
      </c>
      <c r="D337" s="16" t="s">
        <v>100</v>
      </c>
      <c r="E337" s="16" t="s">
        <v>101</v>
      </c>
      <c r="F337" s="16" t="s">
        <v>162</v>
      </c>
      <c r="G337" s="16" t="s">
        <v>163</v>
      </c>
      <c r="H337" s="16" t="s">
        <v>85</v>
      </c>
      <c r="I337" s="16" t="s">
        <v>40</v>
      </c>
      <c r="J337" s="16" t="s">
        <v>38</v>
      </c>
      <c r="K337" s="16" t="s">
        <v>293</v>
      </c>
      <c r="L337" s="15">
        <v>-436016.66319502448</v>
      </c>
      <c r="M337" s="15">
        <v>-30897.175304142042</v>
      </c>
      <c r="N337" s="15">
        <v>-461610.46349477384</v>
      </c>
      <c r="O337" s="15">
        <v>25593.800299749382</v>
      </c>
      <c r="P337" s="15">
        <f>O337</f>
        <v>25593.800299749382</v>
      </c>
      <c r="Q337" s="15">
        <f>P337-R337-25594</f>
        <v>-0.19970025061775232</v>
      </c>
      <c r="R337" s="36">
        <v>0</v>
      </c>
      <c r="S337" s="15">
        <f t="shared" si="25"/>
        <v>-0.19970025061775232</v>
      </c>
      <c r="T337" s="16"/>
      <c r="U337" s="16"/>
    </row>
    <row r="338" spans="1:21" x14ac:dyDescent="0.25">
      <c r="A338" s="16" t="s">
        <v>37</v>
      </c>
      <c r="B338" s="16" t="s">
        <v>265</v>
      </c>
      <c r="C338" s="16" t="s">
        <v>266</v>
      </c>
      <c r="D338" s="16" t="s">
        <v>100</v>
      </c>
      <c r="E338" s="16" t="s">
        <v>101</v>
      </c>
      <c r="F338" s="16" t="s">
        <v>162</v>
      </c>
      <c r="G338" s="16" t="s">
        <v>163</v>
      </c>
      <c r="H338" s="16" t="s">
        <v>85</v>
      </c>
      <c r="I338" s="16" t="s">
        <v>40</v>
      </c>
      <c r="J338" s="16" t="s">
        <v>38</v>
      </c>
      <c r="K338" s="16" t="s">
        <v>293</v>
      </c>
      <c r="L338" s="15">
        <v>-3243235.6100900611</v>
      </c>
      <c r="M338" s="15">
        <v>-167.00000346045758</v>
      </c>
      <c r="N338" s="15">
        <v>-3140498.6249022102</v>
      </c>
      <c r="O338" s="15">
        <v>-102736.98518785089</v>
      </c>
      <c r="P338" s="15">
        <v>-102736.98518785089</v>
      </c>
      <c r="Q338" s="15">
        <f t="shared" si="24"/>
        <v>-102736.98518785089</v>
      </c>
      <c r="R338" s="36">
        <v>0</v>
      </c>
      <c r="S338" s="15">
        <f t="shared" si="25"/>
        <v>-102736.98518785089</v>
      </c>
      <c r="T338" s="16"/>
      <c r="U338" s="16"/>
    </row>
    <row r="339" spans="1:21" x14ac:dyDescent="0.25">
      <c r="A339" s="16" t="s">
        <v>37</v>
      </c>
      <c r="B339" s="16" t="s">
        <v>261</v>
      </c>
      <c r="C339" s="16" t="s">
        <v>262</v>
      </c>
      <c r="D339" s="16" t="s">
        <v>100</v>
      </c>
      <c r="E339" s="16" t="s">
        <v>101</v>
      </c>
      <c r="F339" s="16" t="s">
        <v>162</v>
      </c>
      <c r="G339" s="16" t="s">
        <v>163</v>
      </c>
      <c r="H339" s="16" t="s">
        <v>85</v>
      </c>
      <c r="I339" s="16" t="s">
        <v>40</v>
      </c>
      <c r="J339" s="16" t="s">
        <v>38</v>
      </c>
      <c r="K339" s="16" t="s">
        <v>293</v>
      </c>
      <c r="L339" s="15">
        <v>-1662886.3288952787</v>
      </c>
      <c r="M339" s="15">
        <v>-95393.27</v>
      </c>
      <c r="N339" s="15">
        <v>-1503456.6555165784</v>
      </c>
      <c r="O339" s="15">
        <v>-159429.67337869992</v>
      </c>
      <c r="P339" s="15">
        <v>-159429.67337869992</v>
      </c>
      <c r="Q339" s="15">
        <f t="shared" si="24"/>
        <v>-159429.67337869992</v>
      </c>
      <c r="R339" s="36">
        <v>0</v>
      </c>
      <c r="S339" s="15">
        <f t="shared" si="25"/>
        <v>-159429.67337869992</v>
      </c>
      <c r="T339" s="16"/>
      <c r="U339" s="16"/>
    </row>
    <row r="340" spans="1:21" x14ac:dyDescent="0.25">
      <c r="A340" s="16" t="s">
        <v>37</v>
      </c>
      <c r="B340" s="16" t="s">
        <v>257</v>
      </c>
      <c r="C340" s="16" t="s">
        <v>258</v>
      </c>
      <c r="D340" s="16" t="s">
        <v>100</v>
      </c>
      <c r="E340" s="16" t="s">
        <v>101</v>
      </c>
      <c r="F340" s="16" t="s">
        <v>162</v>
      </c>
      <c r="G340" s="16" t="s">
        <v>163</v>
      </c>
      <c r="H340" s="16" t="s">
        <v>85</v>
      </c>
      <c r="I340" s="16" t="s">
        <v>40</v>
      </c>
      <c r="J340" s="16" t="s">
        <v>38</v>
      </c>
      <c r="K340" s="16" t="s">
        <v>293</v>
      </c>
      <c r="L340" s="15">
        <v>-7639008.8264174731</v>
      </c>
      <c r="M340" s="15">
        <v>-1077049.150507282</v>
      </c>
      <c r="N340" s="15">
        <v>-6922529.4950274806</v>
      </c>
      <c r="O340" s="15">
        <v>-716479.33138999157</v>
      </c>
      <c r="P340" s="15">
        <v>-716479.33138999157</v>
      </c>
      <c r="Q340" s="15">
        <f>P340-R340+P337+1757.88</f>
        <v>-689127.6510902422</v>
      </c>
      <c r="R340" s="36">
        <v>0</v>
      </c>
      <c r="S340" s="15">
        <f t="shared" si="25"/>
        <v>-689127.6510902422</v>
      </c>
      <c r="T340" s="16"/>
      <c r="U340" s="26"/>
    </row>
    <row r="341" spans="1:21" x14ac:dyDescent="0.25">
      <c r="A341" s="16" t="s">
        <v>37</v>
      </c>
      <c r="B341" s="16" t="s">
        <v>257</v>
      </c>
      <c r="C341" s="16" t="s">
        <v>258</v>
      </c>
      <c r="D341" s="16" t="s">
        <v>100</v>
      </c>
      <c r="E341" s="16" t="s">
        <v>101</v>
      </c>
      <c r="F341" s="16" t="s">
        <v>162</v>
      </c>
      <c r="G341" s="16" t="s">
        <v>163</v>
      </c>
      <c r="H341" s="16" t="s">
        <v>85</v>
      </c>
      <c r="I341" s="16" t="s">
        <v>40</v>
      </c>
      <c r="J341" s="16" t="s">
        <v>300</v>
      </c>
      <c r="K341" s="16" t="s">
        <v>301</v>
      </c>
      <c r="L341" s="15">
        <v>-23508.47457627119</v>
      </c>
      <c r="M341" s="15">
        <v>0</v>
      </c>
      <c r="N341" s="15">
        <v>-16729.150000000001</v>
      </c>
      <c r="O341" s="15">
        <v>-6779.3245762711867</v>
      </c>
      <c r="P341" s="15">
        <v>-6779.3245762711867</v>
      </c>
      <c r="Q341" s="15">
        <f>5000-5000</f>
        <v>0</v>
      </c>
      <c r="R341" s="36">
        <f>-5000+5000</f>
        <v>0</v>
      </c>
      <c r="S341" s="15">
        <f t="shared" si="25"/>
        <v>0</v>
      </c>
      <c r="T341" s="16"/>
      <c r="U341" s="26"/>
    </row>
    <row r="342" spans="1:21" x14ac:dyDescent="0.25">
      <c r="A342" s="16" t="s">
        <v>37</v>
      </c>
      <c r="B342" s="16" t="s">
        <v>257</v>
      </c>
      <c r="C342" s="16" t="s">
        <v>258</v>
      </c>
      <c r="D342" s="16" t="s">
        <v>100</v>
      </c>
      <c r="E342" s="16" t="s">
        <v>101</v>
      </c>
      <c r="F342" s="16" t="s">
        <v>162</v>
      </c>
      <c r="G342" s="16" t="s">
        <v>163</v>
      </c>
      <c r="H342" s="16" t="s">
        <v>85</v>
      </c>
      <c r="I342" s="16" t="s">
        <v>40</v>
      </c>
      <c r="J342" s="16" t="s">
        <v>142</v>
      </c>
      <c r="K342" s="16" t="s">
        <v>143</v>
      </c>
      <c r="L342" s="15">
        <v>-10984.273999999999</v>
      </c>
      <c r="M342" s="15">
        <v>0</v>
      </c>
      <c r="N342" s="15">
        <v>0</v>
      </c>
      <c r="O342" s="15">
        <v>-10984.273999999999</v>
      </c>
      <c r="P342" s="15">
        <v>-10984.273999999999</v>
      </c>
      <c r="Q342" s="15">
        <f t="shared" si="24"/>
        <v>-10984.273999999999</v>
      </c>
      <c r="R342" s="36">
        <v>0</v>
      </c>
      <c r="S342" s="15">
        <f t="shared" si="25"/>
        <v>-10984.273999999999</v>
      </c>
      <c r="T342" s="16"/>
      <c r="U342" s="26"/>
    </row>
    <row r="343" spans="1:21" x14ac:dyDescent="0.25">
      <c r="A343" s="16" t="s">
        <v>37</v>
      </c>
      <c r="B343" s="16" t="s">
        <v>269</v>
      </c>
      <c r="C343" s="16" t="s">
        <v>270</v>
      </c>
      <c r="D343" s="16" t="s">
        <v>100</v>
      </c>
      <c r="E343" s="16" t="s">
        <v>101</v>
      </c>
      <c r="F343" s="16" t="s">
        <v>162</v>
      </c>
      <c r="G343" s="16" t="s">
        <v>163</v>
      </c>
      <c r="H343" s="16" t="s">
        <v>85</v>
      </c>
      <c r="I343" s="16" t="s">
        <v>40</v>
      </c>
      <c r="J343" s="16" t="s">
        <v>130</v>
      </c>
      <c r="K343" s="16" t="s">
        <v>131</v>
      </c>
      <c r="L343" s="15">
        <v>-20628.690000071223</v>
      </c>
      <c r="M343" s="15">
        <v>-20628.690000071223</v>
      </c>
      <c r="N343" s="15">
        <v>0</v>
      </c>
      <c r="O343" s="15">
        <v>-20628.690000071223</v>
      </c>
      <c r="P343" s="15">
        <v>-20628.690000071223</v>
      </c>
      <c r="Q343" s="15">
        <f t="shared" si="24"/>
        <v>-20628.690000071223</v>
      </c>
      <c r="R343" s="36">
        <v>0</v>
      </c>
      <c r="S343" s="15">
        <f t="shared" si="25"/>
        <v>-20628.690000071223</v>
      </c>
      <c r="T343" s="16"/>
      <c r="U343" s="16"/>
    </row>
    <row r="344" spans="1:21" x14ac:dyDescent="0.25">
      <c r="A344" s="16" t="s">
        <v>37</v>
      </c>
      <c r="B344" s="16" t="s">
        <v>257</v>
      </c>
      <c r="C344" s="16" t="s">
        <v>258</v>
      </c>
      <c r="D344" s="16" t="s">
        <v>100</v>
      </c>
      <c r="E344" s="16" t="s">
        <v>101</v>
      </c>
      <c r="F344" s="16" t="s">
        <v>162</v>
      </c>
      <c r="G344" s="16" t="s">
        <v>163</v>
      </c>
      <c r="H344" s="16" t="s">
        <v>85</v>
      </c>
      <c r="I344" s="16" t="s">
        <v>40</v>
      </c>
      <c r="J344" s="16" t="s">
        <v>296</v>
      </c>
      <c r="K344" s="16" t="s">
        <v>297</v>
      </c>
      <c r="L344" s="15">
        <v>-12200.2249985982</v>
      </c>
      <c r="M344" s="15">
        <v>-69.619579799999997</v>
      </c>
      <c r="N344" s="15">
        <v>-12153.158260000002</v>
      </c>
      <c r="O344" s="15">
        <v>-47.066738598198754</v>
      </c>
      <c r="P344" s="15">
        <v>-47.066738598198754</v>
      </c>
      <c r="Q344" s="15">
        <f t="shared" si="24"/>
        <v>-47.066738598198754</v>
      </c>
      <c r="R344" s="36">
        <v>0</v>
      </c>
      <c r="S344" s="15">
        <f t="shared" si="25"/>
        <v>-47.066738598198754</v>
      </c>
      <c r="T344" s="16"/>
      <c r="U344" s="26"/>
    </row>
    <row r="345" spans="1:21" x14ac:dyDescent="0.25">
      <c r="A345" s="16" t="s">
        <v>37</v>
      </c>
      <c r="B345" s="16" t="s">
        <v>269</v>
      </c>
      <c r="C345" s="16" t="s">
        <v>270</v>
      </c>
      <c r="D345" s="16" t="s">
        <v>100</v>
      </c>
      <c r="E345" s="16" t="s">
        <v>101</v>
      </c>
      <c r="F345" s="16" t="s">
        <v>162</v>
      </c>
      <c r="G345" s="16" t="s">
        <v>163</v>
      </c>
      <c r="H345" s="16" t="s">
        <v>85</v>
      </c>
      <c r="I345" s="16" t="s">
        <v>40</v>
      </c>
      <c r="J345" s="16" t="s">
        <v>124</v>
      </c>
      <c r="K345" s="16" t="s">
        <v>125</v>
      </c>
      <c r="L345" s="15">
        <v>-2018.248623542187</v>
      </c>
      <c r="M345" s="15">
        <v>0</v>
      </c>
      <c r="N345" s="15">
        <v>-1419.4199999999992</v>
      </c>
      <c r="O345" s="15">
        <v>-598.82862354218832</v>
      </c>
      <c r="P345" s="15">
        <v>0</v>
      </c>
      <c r="Q345" s="15">
        <f t="shared" si="24"/>
        <v>0</v>
      </c>
      <c r="R345" s="36">
        <v>0</v>
      </c>
      <c r="S345" s="15">
        <f t="shared" si="25"/>
        <v>0</v>
      </c>
      <c r="T345" s="16"/>
      <c r="U345" s="16"/>
    </row>
    <row r="346" spans="1:21" x14ac:dyDescent="0.25">
      <c r="A346" s="16" t="s">
        <v>37</v>
      </c>
      <c r="B346" s="16" t="s">
        <v>265</v>
      </c>
      <c r="C346" s="16" t="s">
        <v>266</v>
      </c>
      <c r="D346" s="16" t="s">
        <v>100</v>
      </c>
      <c r="E346" s="16" t="s">
        <v>101</v>
      </c>
      <c r="F346" s="16" t="s">
        <v>162</v>
      </c>
      <c r="G346" s="16" t="s">
        <v>163</v>
      </c>
      <c r="H346" s="16" t="s">
        <v>85</v>
      </c>
      <c r="I346" s="16" t="s">
        <v>40</v>
      </c>
      <c r="J346" s="16" t="s">
        <v>124</v>
      </c>
      <c r="K346" s="16" t="s">
        <v>125</v>
      </c>
      <c r="L346" s="15">
        <v>-365702.46542919852</v>
      </c>
      <c r="M346" s="15">
        <v>0</v>
      </c>
      <c r="N346" s="15">
        <v>-299374.57365309499</v>
      </c>
      <c r="O346" s="15">
        <v>-66327.891776103512</v>
      </c>
      <c r="P346" s="15">
        <v>0</v>
      </c>
      <c r="Q346" s="15">
        <f t="shared" si="24"/>
        <v>0</v>
      </c>
      <c r="R346" s="36">
        <v>0</v>
      </c>
      <c r="S346" s="15">
        <f t="shared" si="25"/>
        <v>0</v>
      </c>
      <c r="T346" s="16"/>
      <c r="U346" s="16"/>
    </row>
    <row r="347" spans="1:21" x14ac:dyDescent="0.25">
      <c r="A347" s="16" t="s">
        <v>37</v>
      </c>
      <c r="B347" s="16" t="s">
        <v>261</v>
      </c>
      <c r="C347" s="16" t="s">
        <v>262</v>
      </c>
      <c r="D347" s="16" t="s">
        <v>100</v>
      </c>
      <c r="E347" s="16" t="s">
        <v>101</v>
      </c>
      <c r="F347" s="16" t="s">
        <v>162</v>
      </c>
      <c r="G347" s="16" t="s">
        <v>163</v>
      </c>
      <c r="H347" s="16" t="s">
        <v>85</v>
      </c>
      <c r="I347" s="16" t="s">
        <v>40</v>
      </c>
      <c r="J347" s="16" t="s">
        <v>124</v>
      </c>
      <c r="K347" s="16" t="s">
        <v>125</v>
      </c>
      <c r="L347" s="15">
        <v>-53269.32473475</v>
      </c>
      <c r="M347" s="15">
        <v>0</v>
      </c>
      <c r="N347" s="15">
        <v>-35675.6335056936</v>
      </c>
      <c r="O347" s="15">
        <v>-17593.691229056392</v>
      </c>
      <c r="P347" s="15">
        <v>0</v>
      </c>
      <c r="Q347" s="15">
        <f t="shared" si="24"/>
        <v>0</v>
      </c>
      <c r="R347" s="36">
        <v>0</v>
      </c>
      <c r="S347" s="15">
        <f t="shared" si="25"/>
        <v>0</v>
      </c>
      <c r="T347" s="16"/>
      <c r="U347" s="16"/>
    </row>
    <row r="348" spans="1:21" x14ac:dyDescent="0.25">
      <c r="A348" s="16" t="s">
        <v>37</v>
      </c>
      <c r="B348" s="16" t="s">
        <v>257</v>
      </c>
      <c r="C348" s="16" t="s">
        <v>258</v>
      </c>
      <c r="D348" s="16" t="s">
        <v>100</v>
      </c>
      <c r="E348" s="16" t="s">
        <v>101</v>
      </c>
      <c r="F348" s="16" t="s">
        <v>162</v>
      </c>
      <c r="G348" s="16" t="s">
        <v>163</v>
      </c>
      <c r="H348" s="16" t="s">
        <v>85</v>
      </c>
      <c r="I348" s="16" t="s">
        <v>40</v>
      </c>
      <c r="J348" s="16" t="s">
        <v>124</v>
      </c>
      <c r="K348" s="16" t="s">
        <v>125</v>
      </c>
      <c r="L348" s="15">
        <v>-163.8415</v>
      </c>
      <c r="M348" s="15">
        <v>0</v>
      </c>
      <c r="N348" s="15">
        <v>-124.03926399999999</v>
      </c>
      <c r="O348" s="15">
        <v>-39.802236000000022</v>
      </c>
      <c r="P348" s="15">
        <v>0</v>
      </c>
      <c r="Q348" s="15">
        <f t="shared" si="24"/>
        <v>0</v>
      </c>
      <c r="R348" s="36">
        <v>0</v>
      </c>
      <c r="S348" s="15">
        <f t="shared" si="25"/>
        <v>0</v>
      </c>
      <c r="T348" s="16"/>
      <c r="U348" s="26"/>
    </row>
    <row r="349" spans="1:21" x14ac:dyDescent="0.25">
      <c r="A349" s="16" t="s">
        <v>37</v>
      </c>
      <c r="B349" s="16" t="s">
        <v>257</v>
      </c>
      <c r="C349" s="16" t="s">
        <v>258</v>
      </c>
      <c r="D349" s="16" t="s">
        <v>100</v>
      </c>
      <c r="E349" s="16" t="s">
        <v>101</v>
      </c>
      <c r="F349" s="16" t="s">
        <v>162</v>
      </c>
      <c r="G349" s="16" t="s">
        <v>163</v>
      </c>
      <c r="H349" s="16" t="s">
        <v>85</v>
      </c>
      <c r="I349" s="16" t="s">
        <v>40</v>
      </c>
      <c r="J349" s="16" t="s">
        <v>298</v>
      </c>
      <c r="K349" s="16" t="s">
        <v>299</v>
      </c>
      <c r="L349" s="15">
        <v>-6666.6264454800012</v>
      </c>
      <c r="M349" s="15">
        <v>-273.04606200000012</v>
      </c>
      <c r="N349" s="15">
        <v>-4230.5783917080007</v>
      </c>
      <c r="O349" s="15">
        <v>-2436.0480537720009</v>
      </c>
      <c r="P349" s="15">
        <v>-2436.0480537720009</v>
      </c>
      <c r="Q349" s="15">
        <f t="shared" si="24"/>
        <v>-2436.0480537720009</v>
      </c>
      <c r="R349" s="36">
        <v>0</v>
      </c>
      <c r="S349" s="15">
        <f t="shared" si="25"/>
        <v>-2436.0480537720009</v>
      </c>
      <c r="T349" s="16"/>
      <c r="U349" s="26"/>
    </row>
    <row r="350" spans="1:21" x14ac:dyDescent="0.25">
      <c r="A350" s="16" t="s">
        <v>37</v>
      </c>
      <c r="B350" s="16" t="s">
        <v>269</v>
      </c>
      <c r="C350" s="16" t="s">
        <v>270</v>
      </c>
      <c r="D350" s="16" t="s">
        <v>100</v>
      </c>
      <c r="E350" s="16" t="s">
        <v>101</v>
      </c>
      <c r="F350" s="16" t="s">
        <v>162</v>
      </c>
      <c r="G350" s="16" t="s">
        <v>163</v>
      </c>
      <c r="H350" s="16" t="s">
        <v>85</v>
      </c>
      <c r="I350" s="16" t="s">
        <v>40</v>
      </c>
      <c r="J350" s="16" t="s">
        <v>132</v>
      </c>
      <c r="K350" s="16" t="s">
        <v>133</v>
      </c>
      <c r="L350" s="15">
        <v>-57060.261855057062</v>
      </c>
      <c r="M350" s="15">
        <v>-57060.261855057062</v>
      </c>
      <c r="N350" s="15">
        <v>-57060.249989593707</v>
      </c>
      <c r="O350" s="15">
        <v>-1.1865463357025874E-2</v>
      </c>
      <c r="P350" s="15">
        <v>0</v>
      </c>
      <c r="Q350" s="15">
        <f t="shared" si="24"/>
        <v>0</v>
      </c>
      <c r="R350" s="36">
        <v>0</v>
      </c>
      <c r="S350" s="15">
        <f t="shared" si="25"/>
        <v>0</v>
      </c>
      <c r="T350" s="16"/>
      <c r="U350" s="16"/>
    </row>
    <row r="351" spans="1:21" x14ac:dyDescent="0.25">
      <c r="A351" s="16" t="s">
        <v>37</v>
      </c>
      <c r="B351" s="16" t="s">
        <v>257</v>
      </c>
      <c r="C351" s="16" t="s">
        <v>258</v>
      </c>
      <c r="D351" s="16" t="s">
        <v>100</v>
      </c>
      <c r="E351" s="16" t="s">
        <v>101</v>
      </c>
      <c r="F351" s="16" t="s">
        <v>162</v>
      </c>
      <c r="G351" s="16" t="s">
        <v>163</v>
      </c>
      <c r="H351" s="16" t="s">
        <v>85</v>
      </c>
      <c r="I351" s="16" t="s">
        <v>40</v>
      </c>
      <c r="J351" s="16" t="s">
        <v>302</v>
      </c>
      <c r="K351" s="16" t="s">
        <v>303</v>
      </c>
      <c r="L351" s="15">
        <v>-49491.525361864398</v>
      </c>
      <c r="M351" s="15">
        <v>0</v>
      </c>
      <c r="N351" s="15">
        <v>-49133.726086956529</v>
      </c>
      <c r="O351" s="15">
        <v>-357.7992749078694</v>
      </c>
      <c r="P351" s="15">
        <v>-357.7992749078694</v>
      </c>
      <c r="Q351" s="15">
        <f>P351-R351+358</f>
        <v>0.20072509213059675</v>
      </c>
      <c r="R351" s="36">
        <f>-3895.35+3895.35</f>
        <v>0</v>
      </c>
      <c r="S351" s="15">
        <f t="shared" si="25"/>
        <v>0.20072509213059675</v>
      </c>
      <c r="T351" s="16"/>
      <c r="U351" s="26"/>
    </row>
    <row r="352" spans="1:21" x14ac:dyDescent="0.25">
      <c r="A352" s="16" t="s">
        <v>37</v>
      </c>
      <c r="B352" s="16" t="s">
        <v>269</v>
      </c>
      <c r="C352" s="16" t="s">
        <v>270</v>
      </c>
      <c r="D352" s="16" t="s">
        <v>100</v>
      </c>
      <c r="E352" s="16" t="s">
        <v>101</v>
      </c>
      <c r="F352" s="16" t="s">
        <v>162</v>
      </c>
      <c r="G352" s="16" t="s">
        <v>163</v>
      </c>
      <c r="H352" s="16" t="s">
        <v>85</v>
      </c>
      <c r="I352" s="16" t="s">
        <v>40</v>
      </c>
      <c r="J352" s="16" t="s">
        <v>64</v>
      </c>
      <c r="K352" s="16" t="s">
        <v>65</v>
      </c>
      <c r="L352" s="15">
        <v>-116523.80948680616</v>
      </c>
      <c r="M352" s="15">
        <v>0</v>
      </c>
      <c r="N352" s="15">
        <v>-109780.61982604174</v>
      </c>
      <c r="O352" s="15">
        <v>-6743.1896607643794</v>
      </c>
      <c r="P352" s="15">
        <v>-6743.1896607643794</v>
      </c>
      <c r="Q352" s="15">
        <f t="shared" si="24"/>
        <v>-6743.1896607643794</v>
      </c>
      <c r="R352" s="36">
        <v>0</v>
      </c>
      <c r="S352" s="15">
        <f t="shared" si="25"/>
        <v>-6743.1896607643794</v>
      </c>
      <c r="T352" s="16"/>
      <c r="U352" s="16"/>
    </row>
    <row r="353" spans="1:22" x14ac:dyDescent="0.25">
      <c r="A353" s="16" t="s">
        <v>37</v>
      </c>
      <c r="B353" s="16" t="s">
        <v>269</v>
      </c>
      <c r="C353" s="16" t="s">
        <v>270</v>
      </c>
      <c r="D353" s="16" t="s">
        <v>100</v>
      </c>
      <c r="E353" s="16" t="s">
        <v>101</v>
      </c>
      <c r="F353" s="16" t="s">
        <v>162</v>
      </c>
      <c r="G353" s="16" t="s">
        <v>163</v>
      </c>
      <c r="H353" s="16" t="s">
        <v>85</v>
      </c>
      <c r="I353" s="16" t="s">
        <v>40</v>
      </c>
      <c r="J353" s="16" t="s">
        <v>66</v>
      </c>
      <c r="K353" s="16" t="s">
        <v>63</v>
      </c>
      <c r="L353" s="15">
        <v>-81807.878625381549</v>
      </c>
      <c r="M353" s="15">
        <v>-81807.878625381549</v>
      </c>
      <c r="N353" s="15">
        <v>-81807.899930634274</v>
      </c>
      <c r="O353" s="15">
        <v>2.1305252731508517E-2</v>
      </c>
      <c r="P353" s="15">
        <v>0</v>
      </c>
      <c r="Q353" s="15">
        <f t="shared" si="24"/>
        <v>0</v>
      </c>
      <c r="R353" s="36">
        <v>0</v>
      </c>
      <c r="S353" s="15">
        <f t="shared" si="25"/>
        <v>0</v>
      </c>
      <c r="T353" s="16"/>
      <c r="U353" s="16"/>
    </row>
    <row r="354" spans="1:22" x14ac:dyDescent="0.25">
      <c r="A354" s="16" t="s">
        <v>37</v>
      </c>
      <c r="B354" s="16" t="s">
        <v>257</v>
      </c>
      <c r="C354" s="16" t="s">
        <v>258</v>
      </c>
      <c r="D354" s="16" t="s">
        <v>100</v>
      </c>
      <c r="E354" s="16" t="s">
        <v>101</v>
      </c>
      <c r="F354" s="16" t="s">
        <v>162</v>
      </c>
      <c r="G354" s="16" t="s">
        <v>163</v>
      </c>
      <c r="H354" s="16" t="s">
        <v>85</v>
      </c>
      <c r="I354" s="16" t="s">
        <v>40</v>
      </c>
      <c r="J354" s="16" t="s">
        <v>67</v>
      </c>
      <c r="K354" s="16" t="s">
        <v>68</v>
      </c>
      <c r="L354" s="15">
        <v>-3970</v>
      </c>
      <c r="M354" s="15">
        <v>0</v>
      </c>
      <c r="N354" s="15">
        <v>0</v>
      </c>
      <c r="O354" s="15">
        <v>-3970</v>
      </c>
      <c r="P354" s="15">
        <v>-3970</v>
      </c>
      <c r="Q354" s="15">
        <f t="shared" si="24"/>
        <v>-3970</v>
      </c>
      <c r="R354" s="36">
        <v>0</v>
      </c>
      <c r="S354" s="15">
        <f t="shared" si="25"/>
        <v>-3970</v>
      </c>
      <c r="T354" s="16"/>
      <c r="U354" s="26"/>
    </row>
    <row r="355" spans="1:22" x14ac:dyDescent="0.25">
      <c r="A355" s="16" t="s">
        <v>37</v>
      </c>
      <c r="B355" s="16" t="s">
        <v>269</v>
      </c>
      <c r="C355" s="16" t="s">
        <v>270</v>
      </c>
      <c r="D355" s="16" t="s">
        <v>100</v>
      </c>
      <c r="E355" s="16" t="s">
        <v>101</v>
      </c>
      <c r="F355" s="16" t="s">
        <v>162</v>
      </c>
      <c r="G355" s="16" t="s">
        <v>163</v>
      </c>
      <c r="H355" s="16" t="s">
        <v>85</v>
      </c>
      <c r="I355" s="16" t="s">
        <v>40</v>
      </c>
      <c r="J355" s="16" t="s">
        <v>69</v>
      </c>
      <c r="K355" s="16" t="s">
        <v>70</v>
      </c>
      <c r="L355" s="15">
        <v>-1732.6956703652104</v>
      </c>
      <c r="M355" s="15">
        <v>-1732.6956703652104</v>
      </c>
      <c r="N355" s="15">
        <v>-1732.6999969253802</v>
      </c>
      <c r="O355" s="15">
        <v>4.3265601693462941E-3</v>
      </c>
      <c r="P355" s="15">
        <v>0</v>
      </c>
      <c r="Q355" s="15">
        <f t="shared" si="24"/>
        <v>0</v>
      </c>
      <c r="R355" s="36">
        <v>0</v>
      </c>
      <c r="S355" s="15">
        <f t="shared" si="25"/>
        <v>0</v>
      </c>
      <c r="T355" s="16"/>
      <c r="U355" s="15">
        <f t="shared" ref="U355:U357" si="26">O355</f>
        <v>4.3265601693462941E-3</v>
      </c>
    </row>
    <row r="356" spans="1:22" x14ac:dyDescent="0.25">
      <c r="A356" s="16" t="s">
        <v>37</v>
      </c>
      <c r="B356" s="16" t="s">
        <v>261</v>
      </c>
      <c r="C356" s="16" t="s">
        <v>262</v>
      </c>
      <c r="D356" s="16" t="s">
        <v>100</v>
      </c>
      <c r="E356" s="16" t="s">
        <v>101</v>
      </c>
      <c r="F356" s="16" t="s">
        <v>162</v>
      </c>
      <c r="G356" s="16" t="s">
        <v>163</v>
      </c>
      <c r="H356" s="16" t="s">
        <v>85</v>
      </c>
      <c r="I356" s="16" t="s">
        <v>40</v>
      </c>
      <c r="J356" s="16" t="s">
        <v>69</v>
      </c>
      <c r="K356" s="16" t="s">
        <v>70</v>
      </c>
      <c r="L356" s="15">
        <v>-7132.5899984750004</v>
      </c>
      <c r="M356" s="15">
        <v>-7132.59</v>
      </c>
      <c r="N356" s="15">
        <v>-6982.9103000000005</v>
      </c>
      <c r="O356" s="15">
        <v>-149.6796984749999</v>
      </c>
      <c r="P356" s="15">
        <v>0</v>
      </c>
      <c r="Q356" s="15">
        <f t="shared" si="24"/>
        <v>0</v>
      </c>
      <c r="R356" s="36">
        <v>0</v>
      </c>
      <c r="S356" s="15">
        <f t="shared" si="25"/>
        <v>0</v>
      </c>
      <c r="T356" s="16"/>
      <c r="U356" s="15">
        <f t="shared" si="26"/>
        <v>-149.6796984749999</v>
      </c>
    </row>
    <row r="357" spans="1:22" x14ac:dyDescent="0.25">
      <c r="A357" s="16" t="s">
        <v>37</v>
      </c>
      <c r="B357" s="16" t="s">
        <v>257</v>
      </c>
      <c r="C357" s="16" t="s">
        <v>258</v>
      </c>
      <c r="D357" s="16" t="s">
        <v>100</v>
      </c>
      <c r="E357" s="16" t="s">
        <v>101</v>
      </c>
      <c r="F357" s="16" t="s">
        <v>162</v>
      </c>
      <c r="G357" s="16" t="s">
        <v>163</v>
      </c>
      <c r="H357" s="16" t="s">
        <v>85</v>
      </c>
      <c r="I357" s="16" t="s">
        <v>40</v>
      </c>
      <c r="J357" s="16" t="s">
        <v>69</v>
      </c>
      <c r="K357" s="16" t="s">
        <v>70</v>
      </c>
      <c r="L357" s="15">
        <v>-2646.2497480000002</v>
      </c>
      <c r="M357" s="15">
        <v>-2646.2497480000002</v>
      </c>
      <c r="N357" s="15">
        <v>-2612.7589755600006</v>
      </c>
      <c r="O357" s="15">
        <v>-33.490772439999319</v>
      </c>
      <c r="P357" s="15">
        <v>0</v>
      </c>
      <c r="Q357" s="15">
        <f t="shared" si="24"/>
        <v>0</v>
      </c>
      <c r="R357" s="36">
        <v>0</v>
      </c>
      <c r="S357" s="15">
        <f t="shared" si="25"/>
        <v>0</v>
      </c>
      <c r="T357" s="16"/>
      <c r="U357" s="15">
        <f t="shared" si="26"/>
        <v>-33.490772439999319</v>
      </c>
    </row>
    <row r="358" spans="1:22" x14ac:dyDescent="0.25">
      <c r="A358" s="16" t="s">
        <v>37</v>
      </c>
      <c r="B358" s="16" t="s">
        <v>257</v>
      </c>
      <c r="C358" s="16" t="s">
        <v>258</v>
      </c>
      <c r="D358" s="16" t="s">
        <v>100</v>
      </c>
      <c r="E358" s="16" t="s">
        <v>101</v>
      </c>
      <c r="F358" s="16" t="s">
        <v>162</v>
      </c>
      <c r="G358" s="16" t="s">
        <v>163</v>
      </c>
      <c r="H358" s="16" t="s">
        <v>85</v>
      </c>
      <c r="I358" s="16" t="s">
        <v>40</v>
      </c>
      <c r="J358" s="16" t="s">
        <v>136</v>
      </c>
      <c r="K358" s="16" t="s">
        <v>137</v>
      </c>
      <c r="L358" s="15">
        <v>-49704.600000000035</v>
      </c>
      <c r="M358" s="15">
        <v>0</v>
      </c>
      <c r="N358" s="15">
        <v>-49704.600000000006</v>
      </c>
      <c r="O358" s="15">
        <v>-2.4556356947869062E-11</v>
      </c>
      <c r="P358" s="15">
        <v>-2.4556356947869062E-11</v>
      </c>
      <c r="Q358" s="15">
        <f t="shared" si="24"/>
        <v>-2.4556356947869062E-11</v>
      </c>
      <c r="R358" s="36">
        <v>0</v>
      </c>
      <c r="S358" s="15">
        <f t="shared" si="25"/>
        <v>-2.4556356947869062E-11</v>
      </c>
      <c r="T358" s="16"/>
      <c r="U358" s="26"/>
    </row>
    <row r="359" spans="1:22" x14ac:dyDescent="0.25">
      <c r="A359" s="16" t="s">
        <v>37</v>
      </c>
      <c r="B359" s="16" t="s">
        <v>265</v>
      </c>
      <c r="C359" s="16" t="s">
        <v>266</v>
      </c>
      <c r="D359" s="16" t="s">
        <v>100</v>
      </c>
      <c r="E359" s="16" t="s">
        <v>101</v>
      </c>
      <c r="F359" s="16" t="s">
        <v>162</v>
      </c>
      <c r="G359" s="16" t="s">
        <v>163</v>
      </c>
      <c r="H359" s="16" t="s">
        <v>85</v>
      </c>
      <c r="I359" s="16" t="s">
        <v>40</v>
      </c>
      <c r="J359" s="16" t="s">
        <v>138</v>
      </c>
      <c r="K359" s="16" t="s">
        <v>139</v>
      </c>
      <c r="L359" s="15">
        <v>-3568.8244732619614</v>
      </c>
      <c r="M359" s="15">
        <v>0</v>
      </c>
      <c r="N359" s="15">
        <v>-3568.8244732619614</v>
      </c>
      <c r="O359" s="15">
        <v>4.2632564145606011E-14</v>
      </c>
      <c r="P359" s="15">
        <v>0</v>
      </c>
      <c r="Q359" s="15">
        <f t="shared" si="24"/>
        <v>0</v>
      </c>
      <c r="R359" s="36">
        <v>0</v>
      </c>
      <c r="S359" s="15">
        <f t="shared" si="25"/>
        <v>0</v>
      </c>
      <c r="T359" s="16"/>
      <c r="U359" s="16"/>
    </row>
    <row r="360" spans="1:22" x14ac:dyDescent="0.25">
      <c r="A360" s="16" t="s">
        <v>37</v>
      </c>
      <c r="B360" s="16" t="s">
        <v>269</v>
      </c>
      <c r="C360" s="16" t="s">
        <v>270</v>
      </c>
      <c r="D360" s="16" t="s">
        <v>100</v>
      </c>
      <c r="E360" s="16" t="s">
        <v>101</v>
      </c>
      <c r="F360" s="16" t="s">
        <v>164</v>
      </c>
      <c r="G360" s="16" t="s">
        <v>165</v>
      </c>
      <c r="H360" s="16" t="s">
        <v>85</v>
      </c>
      <c r="I360" s="16" t="s">
        <v>40</v>
      </c>
      <c r="J360" s="16" t="s">
        <v>38</v>
      </c>
      <c r="K360" s="16" t="s">
        <v>293</v>
      </c>
      <c r="L360" s="15">
        <v>-1045660.8395222391</v>
      </c>
      <c r="M360" s="15">
        <v>-158.74179194710482</v>
      </c>
      <c r="N360" s="15">
        <v>-904406.76801028254</v>
      </c>
      <c r="O360" s="15">
        <v>-141254.07151195646</v>
      </c>
      <c r="P360" s="15">
        <v>-141254.07151195646</v>
      </c>
      <c r="Q360" s="15">
        <f>P360-R360+141254</f>
        <v>-7.1511956455651671E-2</v>
      </c>
      <c r="R360" s="36">
        <v>0</v>
      </c>
      <c r="S360" s="15">
        <f t="shared" si="25"/>
        <v>-7.1511956455651671E-2</v>
      </c>
      <c r="T360" s="16"/>
      <c r="U360" s="16"/>
    </row>
    <row r="361" spans="1:22" x14ac:dyDescent="0.25">
      <c r="A361" s="16" t="s">
        <v>37</v>
      </c>
      <c r="B361" s="16" t="s">
        <v>263</v>
      </c>
      <c r="C361" s="16" t="s">
        <v>264</v>
      </c>
      <c r="D361" s="16" t="s">
        <v>100</v>
      </c>
      <c r="E361" s="16" t="s">
        <v>101</v>
      </c>
      <c r="F361" s="16" t="s">
        <v>164</v>
      </c>
      <c r="G361" s="16" t="s">
        <v>165</v>
      </c>
      <c r="H361" s="16" t="s">
        <v>85</v>
      </c>
      <c r="I361" s="16" t="s">
        <v>40</v>
      </c>
      <c r="J361" s="16" t="s">
        <v>38</v>
      </c>
      <c r="K361" s="16" t="s">
        <v>293</v>
      </c>
      <c r="L361" s="15">
        <v>-1536005.5558986061</v>
      </c>
      <c r="M361" s="15">
        <v>2.0000006770715117E-5</v>
      </c>
      <c r="N361" s="15">
        <v>-1532021.1914343033</v>
      </c>
      <c r="O361" s="15">
        <v>-3984.3644643035368</v>
      </c>
      <c r="P361" s="15">
        <v>-3984.3644643035368</v>
      </c>
      <c r="Q361" s="15">
        <f>P361-R361+P383</f>
        <v>32.482858016795944</v>
      </c>
      <c r="R361" s="36">
        <v>0</v>
      </c>
      <c r="S361" s="15">
        <f t="shared" si="25"/>
        <v>32.482858016795944</v>
      </c>
      <c r="T361" s="16"/>
      <c r="U361" s="16"/>
    </row>
    <row r="362" spans="1:22" x14ac:dyDescent="0.25">
      <c r="A362" s="16" t="s">
        <v>37</v>
      </c>
      <c r="B362" s="16" t="s">
        <v>257</v>
      </c>
      <c r="C362" s="16" t="s">
        <v>258</v>
      </c>
      <c r="D362" s="16" t="s">
        <v>100</v>
      </c>
      <c r="E362" s="16" t="s">
        <v>101</v>
      </c>
      <c r="F362" s="16" t="s">
        <v>164</v>
      </c>
      <c r="G362" s="16" t="s">
        <v>165</v>
      </c>
      <c r="H362" s="16" t="s">
        <v>85</v>
      </c>
      <c r="I362" s="16" t="s">
        <v>40</v>
      </c>
      <c r="J362" s="16" t="s">
        <v>38</v>
      </c>
      <c r="K362" s="16" t="s">
        <v>293</v>
      </c>
      <c r="L362" s="15">
        <v>-437016.1036277588</v>
      </c>
      <c r="M362" s="15">
        <v>-24096.039676495129</v>
      </c>
      <c r="N362" s="15">
        <v>-181334.58529639235</v>
      </c>
      <c r="O362" s="15">
        <v>-255681.51833136647</v>
      </c>
      <c r="P362" s="15">
        <v>-255681.51833136647</v>
      </c>
      <c r="Q362" s="15">
        <f>P362-R362+P360+396936</f>
        <v>0.41015667706960812</v>
      </c>
      <c r="R362" s="36">
        <v>0</v>
      </c>
      <c r="S362" s="15">
        <f t="shared" si="25"/>
        <v>0.41015667706960812</v>
      </c>
      <c r="T362" s="16"/>
      <c r="U362" s="26"/>
      <c r="V362" s="15"/>
    </row>
    <row r="363" spans="1:22" x14ac:dyDescent="0.25">
      <c r="A363" s="16" t="s">
        <v>37</v>
      </c>
      <c r="B363" s="16" t="s">
        <v>257</v>
      </c>
      <c r="C363" s="16" t="s">
        <v>258</v>
      </c>
      <c r="D363" s="16" t="s">
        <v>100</v>
      </c>
      <c r="E363" s="16" t="s">
        <v>101</v>
      </c>
      <c r="F363" s="16" t="s">
        <v>164</v>
      </c>
      <c r="G363" s="16" t="s">
        <v>165</v>
      </c>
      <c r="H363" s="16" t="s">
        <v>85</v>
      </c>
      <c r="I363" s="16" t="s">
        <v>40</v>
      </c>
      <c r="J363" s="16" t="s">
        <v>300</v>
      </c>
      <c r="K363" s="16" t="s">
        <v>301</v>
      </c>
      <c r="L363" s="15">
        <v>-1610.1694915254241</v>
      </c>
      <c r="M363" s="15">
        <v>0</v>
      </c>
      <c r="N363" s="15">
        <v>-1610</v>
      </c>
      <c r="O363" s="15">
        <v>-0.16949152542406409</v>
      </c>
      <c r="P363" s="15">
        <v>-0.16949152542406409</v>
      </c>
      <c r="Q363" s="15">
        <f t="shared" si="24"/>
        <v>-0.16949152542406409</v>
      </c>
      <c r="R363" s="36">
        <v>0</v>
      </c>
      <c r="S363" s="15">
        <f t="shared" si="25"/>
        <v>-0.16949152542406409</v>
      </c>
      <c r="T363" s="16"/>
      <c r="U363" s="26"/>
    </row>
    <row r="364" spans="1:22" x14ac:dyDescent="0.25">
      <c r="A364" s="16" t="s">
        <v>37</v>
      </c>
      <c r="B364" s="16" t="s">
        <v>263</v>
      </c>
      <c r="C364" s="16" t="s">
        <v>264</v>
      </c>
      <c r="D364" s="16" t="s">
        <v>100</v>
      </c>
      <c r="E364" s="16" t="s">
        <v>101</v>
      </c>
      <c r="F364" s="16" t="s">
        <v>164</v>
      </c>
      <c r="G364" s="16" t="s">
        <v>165</v>
      </c>
      <c r="H364" s="16" t="s">
        <v>85</v>
      </c>
      <c r="I364" s="16" t="s">
        <v>40</v>
      </c>
      <c r="J364" s="16" t="s">
        <v>273</v>
      </c>
      <c r="K364" s="16" t="s">
        <v>274</v>
      </c>
      <c r="L364" s="15">
        <v>9.9999997473787516E-6</v>
      </c>
      <c r="M364" s="15">
        <v>9.9999997473787516E-6</v>
      </c>
      <c r="N364" s="15">
        <v>0</v>
      </c>
      <c r="O364" s="15">
        <v>9.9999997473787516E-6</v>
      </c>
      <c r="P364" s="15">
        <v>9.9999997473787516E-6</v>
      </c>
      <c r="Q364" s="15">
        <f t="shared" si="24"/>
        <v>9.9999997473787516E-6</v>
      </c>
      <c r="R364" s="36">
        <v>0</v>
      </c>
      <c r="S364" s="15">
        <f t="shared" si="25"/>
        <v>9.9999997473787516E-6</v>
      </c>
      <c r="T364" s="16"/>
      <c r="U364" s="16"/>
    </row>
    <row r="365" spans="1:22" x14ac:dyDescent="0.25">
      <c r="A365" s="16" t="s">
        <v>37</v>
      </c>
      <c r="B365" s="16" t="s">
        <v>263</v>
      </c>
      <c r="C365" s="16" t="s">
        <v>264</v>
      </c>
      <c r="D365" s="16" t="s">
        <v>100</v>
      </c>
      <c r="E365" s="16" t="s">
        <v>101</v>
      </c>
      <c r="F365" s="16" t="s">
        <v>164</v>
      </c>
      <c r="G365" s="16" t="s">
        <v>165</v>
      </c>
      <c r="H365" s="16" t="s">
        <v>85</v>
      </c>
      <c r="I365" s="16" t="s">
        <v>40</v>
      </c>
      <c r="J365" s="16" t="s">
        <v>275</v>
      </c>
      <c r="K365" s="16" t="s">
        <v>276</v>
      </c>
      <c r="L365" s="15">
        <v>1.0000010661315173E-5</v>
      </c>
      <c r="M365" s="15">
        <v>1.0000010661315173E-5</v>
      </c>
      <c r="N365" s="15">
        <v>0</v>
      </c>
      <c r="O365" s="15">
        <v>1.0000010661315173E-5</v>
      </c>
      <c r="P365" s="15">
        <v>1.0000010661315173E-5</v>
      </c>
      <c r="Q365" s="15">
        <f t="shared" si="24"/>
        <v>1.0000010661315173E-5</v>
      </c>
      <c r="R365" s="36">
        <v>0</v>
      </c>
      <c r="S365" s="15">
        <f t="shared" si="25"/>
        <v>1.0000010661315173E-5</v>
      </c>
      <c r="T365" s="16"/>
      <c r="U365" s="16"/>
    </row>
    <row r="366" spans="1:22" x14ac:dyDescent="0.25">
      <c r="A366" s="16" t="s">
        <v>37</v>
      </c>
      <c r="B366" s="16" t="s">
        <v>263</v>
      </c>
      <c r="C366" s="16" t="s">
        <v>264</v>
      </c>
      <c r="D366" s="16" t="s">
        <v>100</v>
      </c>
      <c r="E366" s="16" t="s">
        <v>101</v>
      </c>
      <c r="F366" s="16" t="s">
        <v>164</v>
      </c>
      <c r="G366" s="16" t="s">
        <v>165</v>
      </c>
      <c r="H366" s="16" t="s">
        <v>85</v>
      </c>
      <c r="I366" s="16" t="s">
        <v>40</v>
      </c>
      <c r="J366" s="16" t="s">
        <v>166</v>
      </c>
      <c r="K366" s="16" t="s">
        <v>167</v>
      </c>
      <c r="L366" s="15">
        <v>-9666.9999899999966</v>
      </c>
      <c r="M366" s="15">
        <v>-9666.9999899999966</v>
      </c>
      <c r="N366" s="15">
        <v>-9667.0000000000018</v>
      </c>
      <c r="O366" s="15">
        <v>1.0000005204346962E-5</v>
      </c>
      <c r="P366" s="15">
        <v>1.0000005204346962E-5</v>
      </c>
      <c r="Q366" s="15">
        <f t="shared" si="24"/>
        <v>1.0000005204346962E-5</v>
      </c>
      <c r="R366" s="36">
        <v>0</v>
      </c>
      <c r="S366" s="15">
        <f t="shared" si="25"/>
        <v>1.0000005204346962E-5</v>
      </c>
      <c r="T366" s="16"/>
      <c r="U366" s="16"/>
    </row>
    <row r="367" spans="1:22" x14ac:dyDescent="0.25">
      <c r="A367" s="16" t="s">
        <v>37</v>
      </c>
      <c r="B367" s="16" t="s">
        <v>269</v>
      </c>
      <c r="C367" s="16" t="s">
        <v>270</v>
      </c>
      <c r="D367" s="16" t="s">
        <v>100</v>
      </c>
      <c r="E367" s="16" t="s">
        <v>101</v>
      </c>
      <c r="F367" s="16" t="s">
        <v>164</v>
      </c>
      <c r="G367" s="16" t="s">
        <v>165</v>
      </c>
      <c r="H367" s="16" t="s">
        <v>85</v>
      </c>
      <c r="I367" s="16" t="s">
        <v>40</v>
      </c>
      <c r="J367" s="16" t="s">
        <v>130</v>
      </c>
      <c r="K367" s="16" t="s">
        <v>131</v>
      </c>
      <c r="L367" s="15">
        <v>-505.1902804578931</v>
      </c>
      <c r="M367" s="15">
        <v>-505.1902804578931</v>
      </c>
      <c r="N367" s="15">
        <v>0</v>
      </c>
      <c r="O367" s="15">
        <v>-505.1902804578931</v>
      </c>
      <c r="P367" s="15">
        <v>-505.1902804578931</v>
      </c>
      <c r="Q367" s="15">
        <f>P367-R367+505</f>
        <v>-0.19028045789309544</v>
      </c>
      <c r="R367" s="36">
        <v>0</v>
      </c>
      <c r="S367" s="15">
        <f t="shared" si="25"/>
        <v>-0.19028045789309544</v>
      </c>
      <c r="T367" s="16"/>
      <c r="U367" s="16"/>
    </row>
    <row r="368" spans="1:22" x14ac:dyDescent="0.25">
      <c r="A368" s="16" t="s">
        <v>37</v>
      </c>
      <c r="B368" s="16" t="s">
        <v>263</v>
      </c>
      <c r="C368" s="16" t="s">
        <v>264</v>
      </c>
      <c r="D368" s="16" t="s">
        <v>100</v>
      </c>
      <c r="E368" s="16" t="s">
        <v>101</v>
      </c>
      <c r="F368" s="16" t="s">
        <v>164</v>
      </c>
      <c r="G368" s="16" t="s">
        <v>165</v>
      </c>
      <c r="H368" s="16" t="s">
        <v>85</v>
      </c>
      <c r="I368" s="16" t="s">
        <v>40</v>
      </c>
      <c r="J368" s="16" t="s">
        <v>168</v>
      </c>
      <c r="K368" s="16" t="s">
        <v>169</v>
      </c>
      <c r="L368" s="15">
        <v>-435493.14411798702</v>
      </c>
      <c r="M368" s="15">
        <v>-435493.14411798702</v>
      </c>
      <c r="N368" s="15">
        <v>-435493.17960000003</v>
      </c>
      <c r="O368" s="15">
        <v>3.5482012899592519E-2</v>
      </c>
      <c r="P368" s="15">
        <v>3.5482012899592519E-2</v>
      </c>
      <c r="Q368" s="15">
        <f t="shared" si="24"/>
        <v>3.5482012899592519E-2</v>
      </c>
      <c r="R368" s="36">
        <v>0</v>
      </c>
      <c r="S368" s="15">
        <f t="shared" si="25"/>
        <v>3.5482012899592519E-2</v>
      </c>
      <c r="T368" s="16"/>
      <c r="U368" s="16"/>
    </row>
    <row r="369" spans="1:21" x14ac:dyDescent="0.25">
      <c r="A369" s="16" t="s">
        <v>37</v>
      </c>
      <c r="B369" s="16" t="s">
        <v>257</v>
      </c>
      <c r="C369" s="16" t="s">
        <v>258</v>
      </c>
      <c r="D369" s="16" t="s">
        <v>100</v>
      </c>
      <c r="E369" s="16" t="s">
        <v>101</v>
      </c>
      <c r="F369" s="16" t="s">
        <v>164</v>
      </c>
      <c r="G369" s="16" t="s">
        <v>165</v>
      </c>
      <c r="H369" s="16" t="s">
        <v>85</v>
      </c>
      <c r="I369" s="16" t="s">
        <v>40</v>
      </c>
      <c r="J369" s="16" t="s">
        <v>296</v>
      </c>
      <c r="K369" s="16" t="s">
        <v>297</v>
      </c>
      <c r="L369" s="15">
        <v>-4726.7399465557019</v>
      </c>
      <c r="M369" s="15">
        <v>-89.834953749999983</v>
      </c>
      <c r="N369" s="15">
        <v>-4726.4953832000001</v>
      </c>
      <c r="O369" s="15">
        <v>-0.24456335570175725</v>
      </c>
      <c r="P369" s="15">
        <v>-0.24456335570175725</v>
      </c>
      <c r="Q369" s="15">
        <f t="shared" si="24"/>
        <v>-0.24456335570175725</v>
      </c>
      <c r="R369" s="36">
        <v>0</v>
      </c>
      <c r="S369" s="15">
        <f t="shared" si="25"/>
        <v>-0.24456335570175725</v>
      </c>
      <c r="T369" s="16"/>
      <c r="U369" s="26"/>
    </row>
    <row r="370" spans="1:21" x14ac:dyDescent="0.25">
      <c r="A370" s="16" t="s">
        <v>37</v>
      </c>
      <c r="B370" s="16" t="s">
        <v>269</v>
      </c>
      <c r="C370" s="16" t="s">
        <v>270</v>
      </c>
      <c r="D370" s="16" t="s">
        <v>100</v>
      </c>
      <c r="E370" s="16" t="s">
        <v>101</v>
      </c>
      <c r="F370" s="16" t="s">
        <v>164</v>
      </c>
      <c r="G370" s="16" t="s">
        <v>165</v>
      </c>
      <c r="H370" s="16" t="s">
        <v>85</v>
      </c>
      <c r="I370" s="16" t="s">
        <v>40</v>
      </c>
      <c r="J370" s="16" t="s">
        <v>124</v>
      </c>
      <c r="K370" s="16" t="s">
        <v>125</v>
      </c>
      <c r="L370" s="15">
        <v>-1762.1511113870417</v>
      </c>
      <c r="M370" s="15">
        <v>0</v>
      </c>
      <c r="N370" s="15">
        <v>-1644.9299999999985</v>
      </c>
      <c r="O370" s="15">
        <v>-117.22111138704327</v>
      </c>
      <c r="P370" s="15">
        <v>0</v>
      </c>
      <c r="Q370" s="15">
        <f t="shared" si="24"/>
        <v>0</v>
      </c>
      <c r="R370" s="36">
        <v>0</v>
      </c>
      <c r="S370" s="15">
        <f t="shared" si="25"/>
        <v>0</v>
      </c>
      <c r="T370" s="16"/>
      <c r="U370" s="16"/>
    </row>
    <row r="371" spans="1:21" x14ac:dyDescent="0.25">
      <c r="A371" s="16" t="s">
        <v>37</v>
      </c>
      <c r="B371" s="16" t="s">
        <v>263</v>
      </c>
      <c r="C371" s="16" t="s">
        <v>264</v>
      </c>
      <c r="D371" s="16" t="s">
        <v>100</v>
      </c>
      <c r="E371" s="16" t="s">
        <v>101</v>
      </c>
      <c r="F371" s="16" t="s">
        <v>164</v>
      </c>
      <c r="G371" s="16" t="s">
        <v>165</v>
      </c>
      <c r="H371" s="16" t="s">
        <v>85</v>
      </c>
      <c r="I371" s="16" t="s">
        <v>40</v>
      </c>
      <c r="J371" s="16" t="s">
        <v>124</v>
      </c>
      <c r="K371" s="16" t="s">
        <v>125</v>
      </c>
      <c r="L371" s="15">
        <v>-253639.79513602325</v>
      </c>
      <c r="M371" s="15">
        <v>0</v>
      </c>
      <c r="N371" s="15">
        <v>-253639.6887796782</v>
      </c>
      <c r="O371" s="15">
        <v>-0.10635634500067681</v>
      </c>
      <c r="P371" s="15">
        <v>0</v>
      </c>
      <c r="Q371" s="15">
        <f t="shared" si="24"/>
        <v>0</v>
      </c>
      <c r="R371" s="36">
        <v>0</v>
      </c>
      <c r="S371" s="15">
        <f t="shared" si="25"/>
        <v>0</v>
      </c>
      <c r="T371" s="16"/>
      <c r="U371" s="16"/>
    </row>
    <row r="372" spans="1:21" x14ac:dyDescent="0.25">
      <c r="A372" s="16" t="s">
        <v>37</v>
      </c>
      <c r="B372" s="16" t="s">
        <v>257</v>
      </c>
      <c r="C372" s="16" t="s">
        <v>258</v>
      </c>
      <c r="D372" s="16" t="s">
        <v>100</v>
      </c>
      <c r="E372" s="16" t="s">
        <v>101</v>
      </c>
      <c r="F372" s="16" t="s">
        <v>164</v>
      </c>
      <c r="G372" s="16" t="s">
        <v>165</v>
      </c>
      <c r="H372" s="16" t="s">
        <v>85</v>
      </c>
      <c r="I372" s="16" t="s">
        <v>40</v>
      </c>
      <c r="J372" s="16" t="s">
        <v>124</v>
      </c>
      <c r="K372" s="16" t="s">
        <v>125</v>
      </c>
      <c r="L372" s="15">
        <v>-35.563699999999997</v>
      </c>
      <c r="M372" s="15">
        <v>0</v>
      </c>
      <c r="N372" s="15">
        <v>-26.950196000000002</v>
      </c>
      <c r="O372" s="15">
        <v>-8.6135039999999954</v>
      </c>
      <c r="P372" s="15">
        <v>0</v>
      </c>
      <c r="Q372" s="15">
        <f t="shared" si="24"/>
        <v>0</v>
      </c>
      <c r="R372" s="36">
        <v>0</v>
      </c>
      <c r="S372" s="15">
        <f t="shared" si="25"/>
        <v>0</v>
      </c>
      <c r="T372" s="16"/>
      <c r="U372" s="26"/>
    </row>
    <row r="373" spans="1:21" x14ac:dyDescent="0.25">
      <c r="A373" s="16" t="s">
        <v>37</v>
      </c>
      <c r="B373" s="16" t="s">
        <v>257</v>
      </c>
      <c r="C373" s="16" t="s">
        <v>258</v>
      </c>
      <c r="D373" s="16" t="s">
        <v>100</v>
      </c>
      <c r="E373" s="16" t="s">
        <v>101</v>
      </c>
      <c r="F373" s="16" t="s">
        <v>164</v>
      </c>
      <c r="G373" s="16" t="s">
        <v>165</v>
      </c>
      <c r="H373" s="16" t="s">
        <v>85</v>
      </c>
      <c r="I373" s="16" t="s">
        <v>40</v>
      </c>
      <c r="J373" s="16" t="s">
        <v>298</v>
      </c>
      <c r="K373" s="16" t="s">
        <v>299</v>
      </c>
      <c r="L373" s="15">
        <v>-5364.1007987000012</v>
      </c>
      <c r="M373" s="15">
        <v>-219.5775120000001</v>
      </c>
      <c r="N373" s="15">
        <v>-3413.8439890623999</v>
      </c>
      <c r="O373" s="15">
        <v>-1950.2568096376012</v>
      </c>
      <c r="P373" s="15">
        <v>-1950.2568096376012</v>
      </c>
      <c r="Q373" s="15">
        <f>P373-R373+1950</f>
        <v>-0.25680963760123632</v>
      </c>
      <c r="R373" s="36">
        <v>0</v>
      </c>
      <c r="S373" s="15">
        <f t="shared" si="25"/>
        <v>-0.25680963760123632</v>
      </c>
      <c r="T373" s="16"/>
      <c r="U373" s="26"/>
    </row>
    <row r="374" spans="1:21" x14ac:dyDescent="0.25">
      <c r="A374" s="16" t="s">
        <v>37</v>
      </c>
      <c r="B374" s="16" t="s">
        <v>269</v>
      </c>
      <c r="C374" s="16" t="s">
        <v>270</v>
      </c>
      <c r="D374" s="16" t="s">
        <v>100</v>
      </c>
      <c r="E374" s="16" t="s">
        <v>101</v>
      </c>
      <c r="F374" s="16" t="s">
        <v>164</v>
      </c>
      <c r="G374" s="16" t="s">
        <v>165</v>
      </c>
      <c r="H374" s="16" t="s">
        <v>85</v>
      </c>
      <c r="I374" s="16" t="s">
        <v>40</v>
      </c>
      <c r="J374" s="16" t="s">
        <v>132</v>
      </c>
      <c r="K374" s="16" t="s">
        <v>133</v>
      </c>
      <c r="L374" s="15">
        <v>-47244.091990828034</v>
      </c>
      <c r="M374" s="15">
        <v>-47244.091990828034</v>
      </c>
      <c r="N374" s="15">
        <v>-47244.089991383909</v>
      </c>
      <c r="O374" s="15">
        <v>-1.9994441099697724E-3</v>
      </c>
      <c r="P374" s="15">
        <v>0</v>
      </c>
      <c r="Q374" s="15">
        <f t="shared" si="24"/>
        <v>0</v>
      </c>
      <c r="R374" s="36">
        <v>0</v>
      </c>
      <c r="S374" s="15">
        <f t="shared" si="25"/>
        <v>0</v>
      </c>
      <c r="T374" s="16"/>
      <c r="U374" s="16"/>
    </row>
    <row r="375" spans="1:21" x14ac:dyDescent="0.25">
      <c r="A375" s="16" t="s">
        <v>37</v>
      </c>
      <c r="B375" s="16" t="s">
        <v>257</v>
      </c>
      <c r="C375" s="16" t="s">
        <v>258</v>
      </c>
      <c r="D375" s="16" t="s">
        <v>100</v>
      </c>
      <c r="E375" s="16" t="s">
        <v>101</v>
      </c>
      <c r="F375" s="16" t="s">
        <v>164</v>
      </c>
      <c r="G375" s="16" t="s">
        <v>165</v>
      </c>
      <c r="H375" s="16" t="s">
        <v>85</v>
      </c>
      <c r="I375" s="16" t="s">
        <v>40</v>
      </c>
      <c r="J375" s="16" t="s">
        <v>302</v>
      </c>
      <c r="K375" s="16" t="s">
        <v>303</v>
      </c>
      <c r="L375" s="15">
        <v>-3389.8305042372876</v>
      </c>
      <c r="M375" s="15">
        <v>0</v>
      </c>
      <c r="N375" s="15">
        <v>-1610.0000000000002</v>
      </c>
      <c r="O375" s="15">
        <v>-1779.8305042372876</v>
      </c>
      <c r="P375" s="15">
        <v>-1779.8305042372876</v>
      </c>
      <c r="Q375" s="15">
        <v>0</v>
      </c>
      <c r="R375" s="36">
        <v>0</v>
      </c>
      <c r="S375" s="15">
        <f t="shared" si="25"/>
        <v>0</v>
      </c>
      <c r="T375" s="16"/>
      <c r="U375" s="26"/>
    </row>
    <row r="376" spans="1:21" x14ac:dyDescent="0.25">
      <c r="A376" s="16" t="s">
        <v>37</v>
      </c>
      <c r="B376" s="16" t="s">
        <v>269</v>
      </c>
      <c r="C376" s="16" t="s">
        <v>270</v>
      </c>
      <c r="D376" s="16" t="s">
        <v>100</v>
      </c>
      <c r="E376" s="16" t="s">
        <v>101</v>
      </c>
      <c r="F376" s="16" t="s">
        <v>164</v>
      </c>
      <c r="G376" s="16" t="s">
        <v>165</v>
      </c>
      <c r="H376" s="16" t="s">
        <v>85</v>
      </c>
      <c r="I376" s="16" t="s">
        <v>40</v>
      </c>
      <c r="J376" s="16" t="s">
        <v>64</v>
      </c>
      <c r="K376" s="16" t="s">
        <v>65</v>
      </c>
      <c r="L376" s="15">
        <v>-424032.71597970952</v>
      </c>
      <c r="M376" s="15">
        <v>0</v>
      </c>
      <c r="N376" s="15">
        <v>-23232.16996318633</v>
      </c>
      <c r="O376" s="15">
        <v>-400800.54601652321</v>
      </c>
      <c r="P376" s="15">
        <v>-400800.54601652321</v>
      </c>
      <c r="Q376" s="15">
        <f>P376-R376+400801</f>
        <v>0.45398347679292783</v>
      </c>
      <c r="R376" s="36">
        <v>0</v>
      </c>
      <c r="S376" s="15">
        <f t="shared" si="25"/>
        <v>0.45398347679292783</v>
      </c>
      <c r="T376" s="16"/>
      <c r="U376" s="16"/>
    </row>
    <row r="377" spans="1:21" x14ac:dyDescent="0.25">
      <c r="A377" s="16" t="s">
        <v>37</v>
      </c>
      <c r="B377" s="16" t="s">
        <v>269</v>
      </c>
      <c r="C377" s="16" t="s">
        <v>270</v>
      </c>
      <c r="D377" s="16" t="s">
        <v>100</v>
      </c>
      <c r="E377" s="16" t="s">
        <v>101</v>
      </c>
      <c r="F377" s="16" t="s">
        <v>164</v>
      </c>
      <c r="G377" s="16" t="s">
        <v>165</v>
      </c>
      <c r="H377" s="16" t="s">
        <v>85</v>
      </c>
      <c r="I377" s="16" t="s">
        <v>40</v>
      </c>
      <c r="J377" s="16" t="s">
        <v>66</v>
      </c>
      <c r="K377" s="16" t="s">
        <v>63</v>
      </c>
      <c r="L377" s="15">
        <v>-30979.105424211237</v>
      </c>
      <c r="M377" s="15">
        <v>-30979.105424211237</v>
      </c>
      <c r="N377" s="15">
        <v>-30979.099973732515</v>
      </c>
      <c r="O377" s="15">
        <v>-5.4504787231053342E-3</v>
      </c>
      <c r="P377" s="15">
        <v>0</v>
      </c>
      <c r="Q377" s="15">
        <f t="shared" si="24"/>
        <v>0</v>
      </c>
      <c r="R377" s="36">
        <v>0</v>
      </c>
      <c r="S377" s="15">
        <f t="shared" si="25"/>
        <v>0</v>
      </c>
      <c r="T377" s="16"/>
      <c r="U377" s="16"/>
    </row>
    <row r="378" spans="1:21" x14ac:dyDescent="0.25">
      <c r="A378" s="16" t="s">
        <v>37</v>
      </c>
      <c r="B378" s="16" t="s">
        <v>257</v>
      </c>
      <c r="C378" s="16" t="s">
        <v>258</v>
      </c>
      <c r="D378" s="16" t="s">
        <v>100</v>
      </c>
      <c r="E378" s="16" t="s">
        <v>101</v>
      </c>
      <c r="F378" s="16" t="s">
        <v>164</v>
      </c>
      <c r="G378" s="16" t="s">
        <v>165</v>
      </c>
      <c r="H378" s="16" t="s">
        <v>85</v>
      </c>
      <c r="I378" s="16" t="s">
        <v>40</v>
      </c>
      <c r="J378" s="16" t="s">
        <v>67</v>
      </c>
      <c r="K378" s="16" t="s">
        <v>68</v>
      </c>
      <c r="L378" s="15">
        <v>-3025</v>
      </c>
      <c r="M378" s="15">
        <v>0</v>
      </c>
      <c r="N378" s="15">
        <v>0</v>
      </c>
      <c r="O378" s="15">
        <v>-3025</v>
      </c>
      <c r="P378" s="15">
        <v>-3025</v>
      </c>
      <c r="Q378" s="15">
        <f>P378-R378+3025</f>
        <v>0</v>
      </c>
      <c r="R378" s="36">
        <v>0</v>
      </c>
      <c r="S378" s="15">
        <f t="shared" si="25"/>
        <v>0</v>
      </c>
      <c r="T378" s="16"/>
      <c r="U378" s="26"/>
    </row>
    <row r="379" spans="1:21" x14ac:dyDescent="0.25">
      <c r="A379" s="16" t="s">
        <v>37</v>
      </c>
      <c r="B379" s="16" t="s">
        <v>269</v>
      </c>
      <c r="C379" s="16" t="s">
        <v>270</v>
      </c>
      <c r="D379" s="16" t="s">
        <v>100</v>
      </c>
      <c r="E379" s="16" t="s">
        <v>101</v>
      </c>
      <c r="F379" s="16" t="s">
        <v>164</v>
      </c>
      <c r="G379" s="16" t="s">
        <v>165</v>
      </c>
      <c r="H379" s="16" t="s">
        <v>85</v>
      </c>
      <c r="I379" s="16" t="s">
        <v>40</v>
      </c>
      <c r="J379" s="16" t="s">
        <v>69</v>
      </c>
      <c r="K379" s="16" t="s">
        <v>70</v>
      </c>
      <c r="L379" s="15">
        <v>-47715.850527651281</v>
      </c>
      <c r="M379" s="15">
        <v>-47715.850527651281</v>
      </c>
      <c r="N379" s="15">
        <v>-47715.849915329782</v>
      </c>
      <c r="O379" s="15">
        <v>-6.123214934632415E-4</v>
      </c>
      <c r="P379" s="15">
        <v>0</v>
      </c>
      <c r="Q379" s="15">
        <f t="shared" si="24"/>
        <v>0</v>
      </c>
      <c r="R379" s="36">
        <v>0</v>
      </c>
      <c r="S379" s="15">
        <f t="shared" si="25"/>
        <v>0</v>
      </c>
      <c r="T379" s="16"/>
      <c r="U379" s="15">
        <f t="shared" ref="U379:U380" si="27">O379</f>
        <v>-6.123214934632415E-4</v>
      </c>
    </row>
    <row r="380" spans="1:21" x14ac:dyDescent="0.25">
      <c r="A380" s="16" t="s">
        <v>37</v>
      </c>
      <c r="B380" s="16" t="s">
        <v>257</v>
      </c>
      <c r="C380" s="16" t="s">
        <v>258</v>
      </c>
      <c r="D380" s="16" t="s">
        <v>100</v>
      </c>
      <c r="E380" s="16" t="s">
        <v>101</v>
      </c>
      <c r="F380" s="16" t="s">
        <v>164</v>
      </c>
      <c r="G380" s="16" t="s">
        <v>165</v>
      </c>
      <c r="H380" s="16" t="s">
        <v>85</v>
      </c>
      <c r="I380" s="16" t="s">
        <v>40</v>
      </c>
      <c r="J380" s="16" t="s">
        <v>69</v>
      </c>
      <c r="K380" s="16" t="s">
        <v>70</v>
      </c>
      <c r="L380" s="15">
        <v>-2016.0409810000001</v>
      </c>
      <c r="M380" s="15">
        <v>-2016.0409810000001</v>
      </c>
      <c r="N380" s="15">
        <v>-1990.5260915700003</v>
      </c>
      <c r="O380" s="15">
        <v>-25.514889429999812</v>
      </c>
      <c r="P380" s="15">
        <v>0</v>
      </c>
      <c r="Q380" s="15">
        <f t="shared" si="24"/>
        <v>0</v>
      </c>
      <c r="R380" s="36">
        <v>0</v>
      </c>
      <c r="S380" s="15">
        <f t="shared" si="25"/>
        <v>0</v>
      </c>
      <c r="T380" s="16"/>
      <c r="U380" s="15">
        <f t="shared" si="27"/>
        <v>-25.514889429999812</v>
      </c>
    </row>
    <row r="381" spans="1:21" x14ac:dyDescent="0.25">
      <c r="A381" s="16" t="s">
        <v>37</v>
      </c>
      <c r="B381" s="16" t="s">
        <v>257</v>
      </c>
      <c r="C381" s="16" t="s">
        <v>258</v>
      </c>
      <c r="D381" s="16" t="s">
        <v>100</v>
      </c>
      <c r="E381" s="16" t="s">
        <v>101</v>
      </c>
      <c r="F381" s="16" t="s">
        <v>164</v>
      </c>
      <c r="G381" s="16" t="s">
        <v>165</v>
      </c>
      <c r="H381" s="16" t="s">
        <v>85</v>
      </c>
      <c r="I381" s="16" t="s">
        <v>40</v>
      </c>
      <c r="J381" s="16" t="s">
        <v>136</v>
      </c>
      <c r="K381" s="16" t="s">
        <v>137</v>
      </c>
      <c r="L381" s="15">
        <v>-10809.20000000001</v>
      </c>
      <c r="M381" s="15">
        <v>0</v>
      </c>
      <c r="N381" s="15">
        <v>-10809.199999999999</v>
      </c>
      <c r="O381" s="15">
        <v>-1.0913936421275139E-11</v>
      </c>
      <c r="P381" s="15">
        <v>-1.0913936421275139E-11</v>
      </c>
      <c r="Q381" s="15">
        <f t="shared" si="24"/>
        <v>-1.0913936421275139E-11</v>
      </c>
      <c r="R381" s="36">
        <v>0</v>
      </c>
      <c r="S381" s="15">
        <f t="shared" si="25"/>
        <v>-1.0913936421275139E-11</v>
      </c>
      <c r="T381" s="16"/>
      <c r="U381" s="26"/>
    </row>
    <row r="382" spans="1:21" x14ac:dyDescent="0.25">
      <c r="A382" s="16" t="s">
        <v>37</v>
      </c>
      <c r="B382" s="16" t="s">
        <v>269</v>
      </c>
      <c r="C382" s="16" t="s">
        <v>270</v>
      </c>
      <c r="D382" s="16" t="s">
        <v>100</v>
      </c>
      <c r="E382" s="16" t="s">
        <v>101</v>
      </c>
      <c r="F382" s="16" t="s">
        <v>170</v>
      </c>
      <c r="G382" s="16" t="s">
        <v>171</v>
      </c>
      <c r="H382" s="16" t="s">
        <v>85</v>
      </c>
      <c r="I382" s="16" t="s">
        <v>40</v>
      </c>
      <c r="J382" s="16" t="s">
        <v>38</v>
      </c>
      <c r="K382" s="16" t="s">
        <v>293</v>
      </c>
      <c r="L382" s="15">
        <v>-1565668.5707324019</v>
      </c>
      <c r="M382" s="15">
        <v>-1329.9882717523433</v>
      </c>
      <c r="N382" s="15">
        <v>-1335226.7239692453</v>
      </c>
      <c r="O382" s="15">
        <v>-230441.84676315638</v>
      </c>
      <c r="P382" s="15">
        <v>-230441.84676315638</v>
      </c>
      <c r="Q382" s="15">
        <f>P382-R382+230442</f>
        <v>0.15323684361646883</v>
      </c>
      <c r="R382" s="36">
        <v>0</v>
      </c>
      <c r="S382" s="15">
        <f t="shared" si="25"/>
        <v>0.15323684361646883</v>
      </c>
      <c r="T382" s="16"/>
      <c r="U382" s="16"/>
    </row>
    <row r="383" spans="1:21" x14ac:dyDescent="0.25">
      <c r="A383" s="16" t="s">
        <v>37</v>
      </c>
      <c r="B383" s="16" t="s">
        <v>263</v>
      </c>
      <c r="C383" s="16" t="s">
        <v>264</v>
      </c>
      <c r="D383" s="16" t="s">
        <v>100</v>
      </c>
      <c r="E383" s="16" t="s">
        <v>101</v>
      </c>
      <c r="F383" s="16" t="s">
        <v>170</v>
      </c>
      <c r="G383" s="16" t="s">
        <v>171</v>
      </c>
      <c r="H383" s="16" t="s">
        <v>85</v>
      </c>
      <c r="I383" s="16" t="s">
        <v>40</v>
      </c>
      <c r="J383" s="16" t="s">
        <v>38</v>
      </c>
      <c r="K383" s="16" t="s">
        <v>293</v>
      </c>
      <c r="L383" s="15">
        <v>-2661137.4347683769</v>
      </c>
      <c r="M383" s="15">
        <v>2.0000000063191692E-5</v>
      </c>
      <c r="N383" s="15">
        <v>-2665154.282090697</v>
      </c>
      <c r="O383" s="15">
        <v>4016.8473223203328</v>
      </c>
      <c r="P383" s="15">
        <f>O383</f>
        <v>4016.8473223203328</v>
      </c>
      <c r="Q383" s="15">
        <f>P383-R383-4017</f>
        <v>-0.15267767966724932</v>
      </c>
      <c r="R383" s="36">
        <v>0</v>
      </c>
      <c r="S383" s="15">
        <f t="shared" si="25"/>
        <v>-0.15267767966724932</v>
      </c>
      <c r="T383" s="16"/>
      <c r="U383" s="16"/>
    </row>
    <row r="384" spans="1:21" x14ac:dyDescent="0.25">
      <c r="A384" s="16" t="s">
        <v>37</v>
      </c>
      <c r="B384" s="16" t="s">
        <v>269</v>
      </c>
      <c r="C384" s="16" t="s">
        <v>270</v>
      </c>
      <c r="D384" s="16" t="s">
        <v>100</v>
      </c>
      <c r="E384" s="16" t="s">
        <v>101</v>
      </c>
      <c r="F384" s="16" t="s">
        <v>170</v>
      </c>
      <c r="G384" s="16" t="s">
        <v>171</v>
      </c>
      <c r="H384" s="16" t="s">
        <v>85</v>
      </c>
      <c r="I384" s="16" t="s">
        <v>40</v>
      </c>
      <c r="J384" s="16" t="s">
        <v>130</v>
      </c>
      <c r="K384" s="16" t="s">
        <v>131</v>
      </c>
      <c r="L384" s="15">
        <v>-36.429699098618585</v>
      </c>
      <c r="M384" s="15">
        <v>-36.429699098618585</v>
      </c>
      <c r="N384" s="15">
        <v>0</v>
      </c>
      <c r="O384" s="15">
        <v>-36.429699098618585</v>
      </c>
      <c r="P384" s="15">
        <v>-36.429699098618585</v>
      </c>
      <c r="Q384" s="15">
        <f>P384-R384+36</f>
        <v>-0.42969909861858469</v>
      </c>
      <c r="R384" s="36">
        <v>0</v>
      </c>
      <c r="S384" s="15">
        <f t="shared" si="25"/>
        <v>-0.42969909861858469</v>
      </c>
      <c r="T384" s="16"/>
      <c r="U384" s="16"/>
    </row>
    <row r="385" spans="1:21" x14ac:dyDescent="0.25">
      <c r="A385" s="16" t="s">
        <v>37</v>
      </c>
      <c r="B385" s="16" t="s">
        <v>263</v>
      </c>
      <c r="C385" s="16" t="s">
        <v>264</v>
      </c>
      <c r="D385" s="16" t="s">
        <v>100</v>
      </c>
      <c r="E385" s="16" t="s">
        <v>101</v>
      </c>
      <c r="F385" s="16" t="s">
        <v>170</v>
      </c>
      <c r="G385" s="16" t="s">
        <v>171</v>
      </c>
      <c r="H385" s="16" t="s">
        <v>85</v>
      </c>
      <c r="I385" s="16" t="s">
        <v>40</v>
      </c>
      <c r="J385" s="16" t="s">
        <v>168</v>
      </c>
      <c r="K385" s="16" t="s">
        <v>169</v>
      </c>
      <c r="L385" s="15">
        <v>0</v>
      </c>
      <c r="M385" s="15">
        <v>0</v>
      </c>
      <c r="N385" s="15">
        <v>1.9999999992137418E-4</v>
      </c>
      <c r="O385" s="15">
        <v>-1.9999999992137418E-4</v>
      </c>
      <c r="P385" s="15">
        <v>-1.9999999992137418E-4</v>
      </c>
      <c r="Q385" s="15">
        <f t="shared" si="24"/>
        <v>-1.9999999992137418E-4</v>
      </c>
      <c r="R385" s="36">
        <v>0</v>
      </c>
      <c r="S385" s="15">
        <f t="shared" si="25"/>
        <v>-1.9999999992137418E-4</v>
      </c>
      <c r="T385" s="16"/>
      <c r="U385" s="16"/>
    </row>
    <row r="386" spans="1:21" x14ac:dyDescent="0.25">
      <c r="A386" s="16" t="s">
        <v>37</v>
      </c>
      <c r="B386" s="16" t="s">
        <v>263</v>
      </c>
      <c r="C386" s="16" t="s">
        <v>264</v>
      </c>
      <c r="D386" s="16" t="s">
        <v>100</v>
      </c>
      <c r="E386" s="16" t="s">
        <v>101</v>
      </c>
      <c r="F386" s="16" t="s">
        <v>170</v>
      </c>
      <c r="G386" s="16" t="s">
        <v>171</v>
      </c>
      <c r="H386" s="16" t="s">
        <v>85</v>
      </c>
      <c r="I386" s="16" t="s">
        <v>40</v>
      </c>
      <c r="J386" s="16" t="s">
        <v>172</v>
      </c>
      <c r="K386" s="16" t="s">
        <v>173</v>
      </c>
      <c r="L386" s="15">
        <v>-1922.8599899998808</v>
      </c>
      <c r="M386" s="15">
        <v>-1922.8599899998808</v>
      </c>
      <c r="N386" s="15">
        <v>-1922.86</v>
      </c>
      <c r="O386" s="15">
        <v>1.0000119232245197E-5</v>
      </c>
      <c r="P386" s="15">
        <v>1.0000119232245197E-5</v>
      </c>
      <c r="Q386" s="15">
        <f t="shared" si="24"/>
        <v>1.0000119232245197E-5</v>
      </c>
      <c r="R386" s="36">
        <v>0</v>
      </c>
      <c r="S386" s="15">
        <f t="shared" si="25"/>
        <v>1.0000119232245197E-5</v>
      </c>
      <c r="T386" s="16"/>
      <c r="U386" s="16"/>
    </row>
    <row r="387" spans="1:21" x14ac:dyDescent="0.25">
      <c r="A387" s="16" t="s">
        <v>37</v>
      </c>
      <c r="B387" s="16" t="s">
        <v>257</v>
      </c>
      <c r="C387" s="16" t="s">
        <v>258</v>
      </c>
      <c r="D387" s="16" t="s">
        <v>100</v>
      </c>
      <c r="E387" s="16" t="s">
        <v>101</v>
      </c>
      <c r="F387" s="16" t="s">
        <v>170</v>
      </c>
      <c r="G387" s="16" t="s">
        <v>171</v>
      </c>
      <c r="H387" s="16" t="s">
        <v>85</v>
      </c>
      <c r="I387" s="16" t="s">
        <v>40</v>
      </c>
      <c r="J387" s="16" t="s">
        <v>296</v>
      </c>
      <c r="K387" s="16" t="s">
        <v>297</v>
      </c>
      <c r="L387" s="15">
        <v>-7105.0150322688969</v>
      </c>
      <c r="M387" s="15">
        <v>-100.15342665</v>
      </c>
      <c r="N387" s="15">
        <v>-7105.0150447999995</v>
      </c>
      <c r="O387" s="15">
        <v>1.253110258403467E-5</v>
      </c>
      <c r="P387" s="15">
        <v>0</v>
      </c>
      <c r="Q387" s="15">
        <f t="shared" si="24"/>
        <v>0</v>
      </c>
      <c r="R387" s="36">
        <v>0</v>
      </c>
      <c r="S387" s="15">
        <f t="shared" si="25"/>
        <v>0</v>
      </c>
      <c r="T387" s="16"/>
      <c r="U387" s="26"/>
    </row>
    <row r="388" spans="1:21" x14ac:dyDescent="0.25">
      <c r="A388" s="16" t="s">
        <v>37</v>
      </c>
      <c r="B388" s="16" t="s">
        <v>269</v>
      </c>
      <c r="C388" s="16" t="s">
        <v>270</v>
      </c>
      <c r="D388" s="16" t="s">
        <v>100</v>
      </c>
      <c r="E388" s="16" t="s">
        <v>101</v>
      </c>
      <c r="F388" s="16" t="s">
        <v>170</v>
      </c>
      <c r="G388" s="16" t="s">
        <v>171</v>
      </c>
      <c r="H388" s="16" t="s">
        <v>85</v>
      </c>
      <c r="I388" s="16" t="s">
        <v>40</v>
      </c>
      <c r="J388" s="16" t="s">
        <v>124</v>
      </c>
      <c r="K388" s="16" t="s">
        <v>125</v>
      </c>
      <c r="L388" s="15">
        <v>-2564.4841274281071</v>
      </c>
      <c r="M388" s="15">
        <v>0</v>
      </c>
      <c r="N388" s="15">
        <v>-2402.9999999999982</v>
      </c>
      <c r="O388" s="15">
        <v>-161.48412742810831</v>
      </c>
      <c r="P388" s="15">
        <v>0</v>
      </c>
      <c r="Q388" s="15">
        <f t="shared" si="24"/>
        <v>0</v>
      </c>
      <c r="R388" s="36">
        <v>0</v>
      </c>
      <c r="S388" s="15">
        <f t="shared" si="25"/>
        <v>0</v>
      </c>
      <c r="T388" s="16"/>
      <c r="U388" s="16"/>
    </row>
    <row r="389" spans="1:21" x14ac:dyDescent="0.25">
      <c r="A389" s="16" t="s">
        <v>37</v>
      </c>
      <c r="B389" s="16" t="s">
        <v>263</v>
      </c>
      <c r="C389" s="16" t="s">
        <v>264</v>
      </c>
      <c r="D389" s="16" t="s">
        <v>100</v>
      </c>
      <c r="E389" s="16" t="s">
        <v>101</v>
      </c>
      <c r="F389" s="16" t="s">
        <v>170</v>
      </c>
      <c r="G389" s="16" t="s">
        <v>171</v>
      </c>
      <c r="H389" s="16" t="s">
        <v>85</v>
      </c>
      <c r="I389" s="16" t="s">
        <v>40</v>
      </c>
      <c r="J389" s="16" t="s">
        <v>124</v>
      </c>
      <c r="K389" s="16" t="s">
        <v>125</v>
      </c>
      <c r="L389" s="15">
        <v>-383022.38531277719</v>
      </c>
      <c r="M389" s="15">
        <v>0</v>
      </c>
      <c r="N389" s="15">
        <v>-383021.86092032172</v>
      </c>
      <c r="O389" s="15">
        <v>-0.52439245529239997</v>
      </c>
      <c r="P389" s="15">
        <v>0</v>
      </c>
      <c r="Q389" s="15">
        <f t="shared" si="24"/>
        <v>0</v>
      </c>
      <c r="R389" s="36">
        <v>0</v>
      </c>
      <c r="S389" s="15">
        <f t="shared" si="25"/>
        <v>0</v>
      </c>
      <c r="T389" s="16"/>
      <c r="U389" s="16"/>
    </row>
    <row r="390" spans="1:21" x14ac:dyDescent="0.25">
      <c r="A390" s="16" t="s">
        <v>37</v>
      </c>
      <c r="B390" s="16" t="s">
        <v>269</v>
      </c>
      <c r="C390" s="16" t="s">
        <v>270</v>
      </c>
      <c r="D390" s="16" t="s">
        <v>100</v>
      </c>
      <c r="E390" s="16" t="s">
        <v>101</v>
      </c>
      <c r="F390" s="16" t="s">
        <v>170</v>
      </c>
      <c r="G390" s="16" t="s">
        <v>171</v>
      </c>
      <c r="H390" s="16" t="s">
        <v>85</v>
      </c>
      <c r="I390" s="16" t="s">
        <v>40</v>
      </c>
      <c r="J390" s="16" t="s">
        <v>132</v>
      </c>
      <c r="K390" s="16" t="s">
        <v>133</v>
      </c>
      <c r="L390" s="15">
        <v>-93924.265407784973</v>
      </c>
      <c r="M390" s="15">
        <v>-93924.265407784973</v>
      </c>
      <c r="N390" s="15">
        <v>-93924.259982870673</v>
      </c>
      <c r="O390" s="15">
        <v>-5.4249142904154724E-3</v>
      </c>
      <c r="P390" s="15">
        <v>0</v>
      </c>
      <c r="Q390" s="15">
        <f t="shared" si="24"/>
        <v>0</v>
      </c>
      <c r="R390" s="36">
        <v>0</v>
      </c>
      <c r="S390" s="15">
        <f t="shared" si="25"/>
        <v>0</v>
      </c>
      <c r="T390" s="16"/>
      <c r="U390" s="16"/>
    </row>
    <row r="391" spans="1:21" x14ac:dyDescent="0.25">
      <c r="A391" s="16" t="s">
        <v>37</v>
      </c>
      <c r="B391" s="16" t="s">
        <v>269</v>
      </c>
      <c r="C391" s="16" t="s">
        <v>270</v>
      </c>
      <c r="D391" s="16" t="s">
        <v>100</v>
      </c>
      <c r="E391" s="16" t="s">
        <v>101</v>
      </c>
      <c r="F391" s="16" t="s">
        <v>170</v>
      </c>
      <c r="G391" s="16" t="s">
        <v>171</v>
      </c>
      <c r="H391" s="16" t="s">
        <v>85</v>
      </c>
      <c r="I391" s="16" t="s">
        <v>40</v>
      </c>
      <c r="J391" s="16" t="s">
        <v>64</v>
      </c>
      <c r="K391" s="16" t="s">
        <v>65</v>
      </c>
      <c r="L391" s="15">
        <v>-635348.79196819058</v>
      </c>
      <c r="M391" s="15">
        <v>0</v>
      </c>
      <c r="N391" s="15">
        <v>-632848.78899718856</v>
      </c>
      <c r="O391" s="15">
        <v>-2500.0029710020754</v>
      </c>
      <c r="P391" s="15">
        <v>-2500.0029710020754</v>
      </c>
      <c r="Q391" s="15">
        <f>P391-R391+2500</f>
        <v>-2.9710020753555E-3</v>
      </c>
      <c r="R391" s="36">
        <v>0</v>
      </c>
      <c r="S391" s="15">
        <f t="shared" si="25"/>
        <v>-2.9710020753555E-3</v>
      </c>
      <c r="T391" s="16"/>
      <c r="U391" s="16"/>
    </row>
    <row r="392" spans="1:21" x14ac:dyDescent="0.25">
      <c r="A392" s="16" t="s">
        <v>37</v>
      </c>
      <c r="B392" s="16" t="s">
        <v>269</v>
      </c>
      <c r="C392" s="16" t="s">
        <v>270</v>
      </c>
      <c r="D392" s="16" t="s">
        <v>100</v>
      </c>
      <c r="E392" s="16" t="s">
        <v>101</v>
      </c>
      <c r="F392" s="16" t="s">
        <v>170</v>
      </c>
      <c r="G392" s="16" t="s">
        <v>171</v>
      </c>
      <c r="H392" s="16" t="s">
        <v>85</v>
      </c>
      <c r="I392" s="16" t="s">
        <v>40</v>
      </c>
      <c r="J392" s="16" t="s">
        <v>66</v>
      </c>
      <c r="K392" s="16" t="s">
        <v>63</v>
      </c>
      <c r="L392" s="15">
        <v>-6543.8191307614525</v>
      </c>
      <c r="M392" s="15">
        <v>-6543.8191307614525</v>
      </c>
      <c r="N392" s="15">
        <v>-6543.8099944514379</v>
      </c>
      <c r="O392" s="15">
        <v>-9.1363100198122993E-3</v>
      </c>
      <c r="P392" s="15">
        <v>0</v>
      </c>
      <c r="Q392" s="15">
        <f t="shared" si="24"/>
        <v>0</v>
      </c>
      <c r="R392" s="36">
        <v>0</v>
      </c>
      <c r="S392" s="15">
        <f t="shared" si="25"/>
        <v>0</v>
      </c>
      <c r="T392" s="16"/>
      <c r="U392" s="16"/>
    </row>
    <row r="393" spans="1:21" x14ac:dyDescent="0.25">
      <c r="A393" s="16" t="s">
        <v>37</v>
      </c>
      <c r="B393" s="16" t="s">
        <v>263</v>
      </c>
      <c r="C393" s="16" t="s">
        <v>264</v>
      </c>
      <c r="D393" s="16" t="s">
        <v>100</v>
      </c>
      <c r="E393" s="16" t="s">
        <v>101</v>
      </c>
      <c r="F393" s="16" t="s">
        <v>170</v>
      </c>
      <c r="G393" s="16" t="s">
        <v>171</v>
      </c>
      <c r="H393" s="16" t="s">
        <v>85</v>
      </c>
      <c r="I393" s="16" t="s">
        <v>40</v>
      </c>
      <c r="J393" s="16" t="s">
        <v>67</v>
      </c>
      <c r="K393" s="16" t="s">
        <v>68</v>
      </c>
      <c r="L393" s="15">
        <v>-6830.0098999999864</v>
      </c>
      <c r="M393" s="15">
        <v>0</v>
      </c>
      <c r="N393" s="15">
        <v>-6830.0099999999993</v>
      </c>
      <c r="O393" s="15">
        <v>1.0000001202570274E-4</v>
      </c>
      <c r="P393" s="15">
        <v>0</v>
      </c>
      <c r="Q393" s="15">
        <f t="shared" si="24"/>
        <v>0</v>
      </c>
      <c r="R393" s="36">
        <v>0</v>
      </c>
      <c r="S393" s="15">
        <f t="shared" si="25"/>
        <v>0</v>
      </c>
      <c r="T393" s="16"/>
      <c r="U393" s="16"/>
    </row>
    <row r="394" spans="1:21" x14ac:dyDescent="0.25">
      <c r="A394" s="16" t="s">
        <v>37</v>
      </c>
      <c r="B394" s="16" t="s">
        <v>269</v>
      </c>
      <c r="C394" s="16" t="s">
        <v>270</v>
      </c>
      <c r="D394" s="16" t="s">
        <v>100</v>
      </c>
      <c r="E394" s="16" t="s">
        <v>101</v>
      </c>
      <c r="F394" s="16" t="s">
        <v>170</v>
      </c>
      <c r="G394" s="16" t="s">
        <v>171</v>
      </c>
      <c r="H394" s="16" t="s">
        <v>85</v>
      </c>
      <c r="I394" s="16" t="s">
        <v>40</v>
      </c>
      <c r="J394" s="16" t="s">
        <v>69</v>
      </c>
      <c r="K394" s="16" t="s">
        <v>70</v>
      </c>
      <c r="L394" s="15">
        <v>-85949.056882409292</v>
      </c>
      <c r="M394" s="15">
        <v>-85949.056882409292</v>
      </c>
      <c r="N394" s="15">
        <v>-85949.059847486176</v>
      </c>
      <c r="O394" s="15">
        <v>2.9650768938154215E-3</v>
      </c>
      <c r="P394" s="15">
        <v>0</v>
      </c>
      <c r="Q394" s="15">
        <f t="shared" si="24"/>
        <v>0</v>
      </c>
      <c r="R394" s="36">
        <v>0</v>
      </c>
      <c r="S394" s="15">
        <f t="shared" si="25"/>
        <v>0</v>
      </c>
      <c r="T394" s="16"/>
      <c r="U394" s="15">
        <f>O394</f>
        <v>2.9650768938154215E-3</v>
      </c>
    </row>
    <row r="395" spans="1:21" x14ac:dyDescent="0.25">
      <c r="A395" s="16" t="s">
        <v>37</v>
      </c>
      <c r="B395" s="16" t="s">
        <v>263</v>
      </c>
      <c r="C395" s="16" t="s">
        <v>264</v>
      </c>
      <c r="D395" s="16" t="s">
        <v>100</v>
      </c>
      <c r="E395" s="16" t="s">
        <v>101</v>
      </c>
      <c r="F395" s="16" t="s">
        <v>170</v>
      </c>
      <c r="G395" s="16" t="s">
        <v>171</v>
      </c>
      <c r="H395" s="16" t="s">
        <v>85</v>
      </c>
      <c r="I395" s="16" t="s">
        <v>40</v>
      </c>
      <c r="J395" s="16" t="s">
        <v>174</v>
      </c>
      <c r="K395" s="16" t="s">
        <v>175</v>
      </c>
      <c r="L395" s="15">
        <v>0</v>
      </c>
      <c r="M395" s="15">
        <v>0</v>
      </c>
      <c r="N395" s="15">
        <v>16.940200000000001</v>
      </c>
      <c r="O395" s="15">
        <v>-16.940200000000001</v>
      </c>
      <c r="P395" s="15">
        <v>0</v>
      </c>
      <c r="Q395" s="15">
        <f t="shared" si="24"/>
        <v>0</v>
      </c>
      <c r="R395" s="36">
        <v>0</v>
      </c>
      <c r="S395" s="15">
        <f t="shared" si="25"/>
        <v>0</v>
      </c>
      <c r="T395" s="16"/>
      <c r="U395" s="16"/>
    </row>
    <row r="396" spans="1:21" x14ac:dyDescent="0.25">
      <c r="A396" s="16" t="s">
        <v>37</v>
      </c>
      <c r="B396" s="16" t="s">
        <v>269</v>
      </c>
      <c r="C396" s="16" t="s">
        <v>270</v>
      </c>
      <c r="D396" s="16" t="s">
        <v>100</v>
      </c>
      <c r="E396" s="16" t="s">
        <v>101</v>
      </c>
      <c r="F396" s="16" t="s">
        <v>176</v>
      </c>
      <c r="G396" s="16" t="s">
        <v>177</v>
      </c>
      <c r="H396" s="16" t="s">
        <v>85</v>
      </c>
      <c r="I396" s="16" t="s">
        <v>40</v>
      </c>
      <c r="J396" s="16" t="s">
        <v>38</v>
      </c>
      <c r="K396" s="16" t="s">
        <v>293</v>
      </c>
      <c r="L396" s="15">
        <v>-713903.76864850626</v>
      </c>
      <c r="M396" s="15">
        <v>-40073.801037507772</v>
      </c>
      <c r="N396" s="15">
        <v>-646346.39744852704</v>
      </c>
      <c r="O396" s="15">
        <v>-67557.371199979272</v>
      </c>
      <c r="P396" s="15">
        <v>-67557.371199979272</v>
      </c>
      <c r="Q396" s="15">
        <f>P396-R396+67557</f>
        <v>-0.37119997927220538</v>
      </c>
      <c r="R396" s="36">
        <v>0</v>
      </c>
      <c r="S396" s="15">
        <f t="shared" si="25"/>
        <v>-0.37119997927220538</v>
      </c>
      <c r="T396" s="16"/>
      <c r="U396" s="16"/>
    </row>
    <row r="397" spans="1:21" x14ac:dyDescent="0.25">
      <c r="A397" s="16" t="s">
        <v>37</v>
      </c>
      <c r="B397" s="16" t="s">
        <v>261</v>
      </c>
      <c r="C397" s="16" t="s">
        <v>262</v>
      </c>
      <c r="D397" s="16" t="s">
        <v>100</v>
      </c>
      <c r="E397" s="16" t="s">
        <v>101</v>
      </c>
      <c r="F397" s="16" t="s">
        <v>176</v>
      </c>
      <c r="G397" s="16" t="s">
        <v>177</v>
      </c>
      <c r="H397" s="16" t="s">
        <v>85</v>
      </c>
      <c r="I397" s="16" t="s">
        <v>40</v>
      </c>
      <c r="J397" s="16" t="s">
        <v>38</v>
      </c>
      <c r="K397" s="16" t="s">
        <v>293</v>
      </c>
      <c r="L397" s="15">
        <v>-1706161.5700312969</v>
      </c>
      <c r="M397" s="15">
        <v>-750.45</v>
      </c>
      <c r="N397" s="15">
        <v>-1594147.5389106246</v>
      </c>
      <c r="O397" s="15">
        <v>-112014.0311206722</v>
      </c>
      <c r="P397" s="15">
        <v>-112014.0311206722</v>
      </c>
      <c r="Q397" s="15">
        <f t="shared" si="24"/>
        <v>-112014.0311206722</v>
      </c>
      <c r="R397" s="36">
        <v>0</v>
      </c>
      <c r="S397" s="15">
        <f t="shared" si="25"/>
        <v>-112014.0311206722</v>
      </c>
      <c r="T397" s="16"/>
      <c r="U397" s="16"/>
    </row>
    <row r="398" spans="1:21" x14ac:dyDescent="0.25">
      <c r="A398" s="16" t="s">
        <v>37</v>
      </c>
      <c r="B398" s="16" t="s">
        <v>269</v>
      </c>
      <c r="C398" s="16" t="s">
        <v>270</v>
      </c>
      <c r="D398" s="16" t="s">
        <v>100</v>
      </c>
      <c r="E398" s="16" t="s">
        <v>101</v>
      </c>
      <c r="F398" s="16" t="s">
        <v>176</v>
      </c>
      <c r="G398" s="16" t="s">
        <v>177</v>
      </c>
      <c r="H398" s="16" t="s">
        <v>85</v>
      </c>
      <c r="I398" s="16" t="s">
        <v>40</v>
      </c>
      <c r="J398" s="16" t="s">
        <v>130</v>
      </c>
      <c r="K398" s="16" t="s">
        <v>131</v>
      </c>
      <c r="L398" s="15">
        <v>-5517.7300000190498</v>
      </c>
      <c r="M398" s="15">
        <v>-5517.7300000190498</v>
      </c>
      <c r="N398" s="15">
        <v>0</v>
      </c>
      <c r="O398" s="15">
        <v>-5517.7300000190498</v>
      </c>
      <c r="P398" s="15">
        <v>-5517.7300000190498</v>
      </c>
      <c r="Q398" s="15">
        <f t="shared" si="24"/>
        <v>-5517.7300000190498</v>
      </c>
      <c r="R398" s="36">
        <v>0</v>
      </c>
      <c r="S398" s="15">
        <f t="shared" si="25"/>
        <v>-5517.7300000190498</v>
      </c>
      <c r="T398" s="16"/>
      <c r="U398" s="16"/>
    </row>
    <row r="399" spans="1:21" x14ac:dyDescent="0.25">
      <c r="A399" s="16" t="s">
        <v>37</v>
      </c>
      <c r="B399" s="16" t="s">
        <v>257</v>
      </c>
      <c r="C399" s="16" t="s">
        <v>258</v>
      </c>
      <c r="D399" s="16" t="s">
        <v>100</v>
      </c>
      <c r="E399" s="16" t="s">
        <v>101</v>
      </c>
      <c r="F399" s="16" t="s">
        <v>176</v>
      </c>
      <c r="G399" s="16" t="s">
        <v>177</v>
      </c>
      <c r="H399" s="16" t="s">
        <v>85</v>
      </c>
      <c r="I399" s="16" t="s">
        <v>40</v>
      </c>
      <c r="J399" s="16" t="s">
        <v>296</v>
      </c>
      <c r="K399" s="16" t="s">
        <v>297</v>
      </c>
      <c r="L399" s="15">
        <v>-672705.61783522216</v>
      </c>
      <c r="M399" s="15">
        <v>-7029.7908981499986</v>
      </c>
      <c r="N399" s="15">
        <v>-651522.28480000002</v>
      </c>
      <c r="O399" s="15">
        <v>-21183.33303522208</v>
      </c>
      <c r="P399" s="15">
        <v>-21183.33303522208</v>
      </c>
      <c r="Q399" s="15">
        <f t="shared" ref="Q399:Q462" si="28">P399-R399</f>
        <v>-21183.33303522208</v>
      </c>
      <c r="R399" s="36">
        <v>0</v>
      </c>
      <c r="S399" s="15">
        <f t="shared" ref="S399:S462" si="29">SUM(Q399:R399)</f>
        <v>-21183.33303522208</v>
      </c>
      <c r="T399" s="16"/>
      <c r="U399" s="26"/>
    </row>
    <row r="400" spans="1:21" x14ac:dyDescent="0.25">
      <c r="A400" s="16" t="s">
        <v>37</v>
      </c>
      <c r="B400" s="16" t="s">
        <v>269</v>
      </c>
      <c r="C400" s="16" t="s">
        <v>270</v>
      </c>
      <c r="D400" s="16" t="s">
        <v>100</v>
      </c>
      <c r="E400" s="16" t="s">
        <v>101</v>
      </c>
      <c r="F400" s="16" t="s">
        <v>176</v>
      </c>
      <c r="G400" s="16" t="s">
        <v>177</v>
      </c>
      <c r="H400" s="16" t="s">
        <v>85</v>
      </c>
      <c r="I400" s="16" t="s">
        <v>40</v>
      </c>
      <c r="J400" s="16" t="s">
        <v>124</v>
      </c>
      <c r="K400" s="16" t="s">
        <v>125</v>
      </c>
      <c r="L400" s="15">
        <v>-1093.9947011876161</v>
      </c>
      <c r="M400" s="15">
        <v>0</v>
      </c>
      <c r="N400" s="15">
        <v>-672.62999999999943</v>
      </c>
      <c r="O400" s="15">
        <v>-421.36470118761645</v>
      </c>
      <c r="P400" s="15">
        <v>0</v>
      </c>
      <c r="Q400" s="15">
        <f t="shared" si="28"/>
        <v>0</v>
      </c>
      <c r="R400" s="36">
        <v>0</v>
      </c>
      <c r="S400" s="15">
        <f t="shared" si="29"/>
        <v>0</v>
      </c>
      <c r="T400" s="16"/>
      <c r="U400" s="16"/>
    </row>
    <row r="401" spans="1:21" x14ac:dyDescent="0.25">
      <c r="A401" s="16" t="s">
        <v>37</v>
      </c>
      <c r="B401" s="16" t="s">
        <v>261</v>
      </c>
      <c r="C401" s="16" t="s">
        <v>262</v>
      </c>
      <c r="D401" s="16" t="s">
        <v>100</v>
      </c>
      <c r="E401" s="16" t="s">
        <v>101</v>
      </c>
      <c r="F401" s="16" t="s">
        <v>176</v>
      </c>
      <c r="G401" s="16" t="s">
        <v>177</v>
      </c>
      <c r="H401" s="16" t="s">
        <v>85</v>
      </c>
      <c r="I401" s="16" t="s">
        <v>40</v>
      </c>
      <c r="J401" s="16" t="s">
        <v>124</v>
      </c>
      <c r="K401" s="16" t="s">
        <v>125</v>
      </c>
      <c r="L401" s="15">
        <v>-391676.88988095993</v>
      </c>
      <c r="M401" s="15">
        <v>0</v>
      </c>
      <c r="N401" s="15">
        <v>-342262.28268839687</v>
      </c>
      <c r="O401" s="15">
        <v>-49414.607192563155</v>
      </c>
      <c r="P401" s="15">
        <v>0</v>
      </c>
      <c r="Q401" s="15">
        <f t="shared" si="28"/>
        <v>0</v>
      </c>
      <c r="R401" s="36">
        <v>0</v>
      </c>
      <c r="S401" s="15">
        <f t="shared" si="29"/>
        <v>0</v>
      </c>
      <c r="T401" s="16"/>
      <c r="U401" s="16"/>
    </row>
    <row r="402" spans="1:21" x14ac:dyDescent="0.25">
      <c r="A402" s="16" t="s">
        <v>37</v>
      </c>
      <c r="B402" s="16" t="s">
        <v>269</v>
      </c>
      <c r="C402" s="16" t="s">
        <v>270</v>
      </c>
      <c r="D402" s="16" t="s">
        <v>100</v>
      </c>
      <c r="E402" s="16" t="s">
        <v>101</v>
      </c>
      <c r="F402" s="16" t="s">
        <v>176</v>
      </c>
      <c r="G402" s="16" t="s">
        <v>177</v>
      </c>
      <c r="H402" s="16" t="s">
        <v>85</v>
      </c>
      <c r="I402" s="16" t="s">
        <v>40</v>
      </c>
      <c r="J402" s="16" t="s">
        <v>132</v>
      </c>
      <c r="K402" s="16" t="s">
        <v>133</v>
      </c>
      <c r="L402" s="15">
        <v>-36395.066031445327</v>
      </c>
      <c r="M402" s="15">
        <v>-36395.066031445327</v>
      </c>
      <c r="N402" s="15">
        <v>-36395.069993362486</v>
      </c>
      <c r="O402" s="15">
        <v>3.9619171629965422E-3</v>
      </c>
      <c r="P402" s="15">
        <v>0</v>
      </c>
      <c r="Q402" s="15">
        <f t="shared" si="28"/>
        <v>0</v>
      </c>
      <c r="R402" s="36">
        <v>0</v>
      </c>
      <c r="S402" s="15">
        <f t="shared" si="29"/>
        <v>0</v>
      </c>
      <c r="T402" s="16"/>
      <c r="U402" s="16"/>
    </row>
    <row r="403" spans="1:21" x14ac:dyDescent="0.25">
      <c r="A403" s="16" t="s">
        <v>37</v>
      </c>
      <c r="B403" s="16" t="s">
        <v>269</v>
      </c>
      <c r="C403" s="16" t="s">
        <v>270</v>
      </c>
      <c r="D403" s="16" t="s">
        <v>100</v>
      </c>
      <c r="E403" s="16" t="s">
        <v>101</v>
      </c>
      <c r="F403" s="16" t="s">
        <v>176</v>
      </c>
      <c r="G403" s="16" t="s">
        <v>177</v>
      </c>
      <c r="H403" s="16" t="s">
        <v>85</v>
      </c>
      <c r="I403" s="16" t="s">
        <v>40</v>
      </c>
      <c r="J403" s="16" t="s">
        <v>64</v>
      </c>
      <c r="K403" s="16" t="s">
        <v>65</v>
      </c>
      <c r="L403" s="15">
        <v>-136873.13888778549</v>
      </c>
      <c r="M403" s="15">
        <v>0</v>
      </c>
      <c r="N403" s="15">
        <v>-134873.1397862802</v>
      </c>
      <c r="O403" s="15">
        <v>-1999.9991015053329</v>
      </c>
      <c r="P403" s="15">
        <v>-1999.9991015053329</v>
      </c>
      <c r="Q403" s="15">
        <f t="shared" si="28"/>
        <v>-1999.9991015053329</v>
      </c>
      <c r="R403" s="36">
        <v>0</v>
      </c>
      <c r="S403" s="15">
        <f t="shared" si="29"/>
        <v>-1999.9991015053329</v>
      </c>
      <c r="T403" s="16"/>
      <c r="U403" s="16"/>
    </row>
    <row r="404" spans="1:21" x14ac:dyDescent="0.25">
      <c r="A404" s="16" t="s">
        <v>37</v>
      </c>
      <c r="B404" s="16" t="s">
        <v>269</v>
      </c>
      <c r="C404" s="16" t="s">
        <v>270</v>
      </c>
      <c r="D404" s="16" t="s">
        <v>100</v>
      </c>
      <c r="E404" s="16" t="s">
        <v>101</v>
      </c>
      <c r="F404" s="16" t="s">
        <v>176</v>
      </c>
      <c r="G404" s="16" t="s">
        <v>177</v>
      </c>
      <c r="H404" s="16" t="s">
        <v>85</v>
      </c>
      <c r="I404" s="16" t="s">
        <v>40</v>
      </c>
      <c r="J404" s="16" t="s">
        <v>66</v>
      </c>
      <c r="K404" s="16" t="s">
        <v>63</v>
      </c>
      <c r="L404" s="15">
        <v>-86255.197282754845</v>
      </c>
      <c r="M404" s="15">
        <v>-86255.197282754845</v>
      </c>
      <c r="N404" s="15">
        <v>-86255.199926863366</v>
      </c>
      <c r="O404" s="15">
        <v>2.6441085246915463E-3</v>
      </c>
      <c r="P404" s="15">
        <v>0</v>
      </c>
      <c r="Q404" s="15">
        <f t="shared" si="28"/>
        <v>0</v>
      </c>
      <c r="R404" s="36">
        <v>0</v>
      </c>
      <c r="S404" s="15">
        <f t="shared" si="29"/>
        <v>0</v>
      </c>
      <c r="T404" s="16"/>
      <c r="U404" s="16"/>
    </row>
    <row r="405" spans="1:21" x14ac:dyDescent="0.25">
      <c r="A405" s="16" t="s">
        <v>37</v>
      </c>
      <c r="B405" s="16" t="s">
        <v>269</v>
      </c>
      <c r="C405" s="16" t="s">
        <v>270</v>
      </c>
      <c r="D405" s="16" t="s">
        <v>100</v>
      </c>
      <c r="E405" s="16" t="s">
        <v>101</v>
      </c>
      <c r="F405" s="16" t="s">
        <v>176</v>
      </c>
      <c r="G405" s="16" t="s">
        <v>177</v>
      </c>
      <c r="H405" s="16" t="s">
        <v>85</v>
      </c>
      <c r="I405" s="16" t="s">
        <v>40</v>
      </c>
      <c r="J405" s="16" t="s">
        <v>67</v>
      </c>
      <c r="K405" s="16" t="s">
        <v>68</v>
      </c>
      <c r="L405" s="15">
        <v>-34679.999999999993</v>
      </c>
      <c r="M405" s="15">
        <v>0</v>
      </c>
      <c r="N405" s="15">
        <v>0</v>
      </c>
      <c r="O405" s="15">
        <v>-34679.999999999993</v>
      </c>
      <c r="P405" s="15">
        <v>-34679.999999999993</v>
      </c>
      <c r="Q405" s="15">
        <f t="shared" si="28"/>
        <v>-34679.999999999993</v>
      </c>
      <c r="R405" s="36">
        <v>0</v>
      </c>
      <c r="S405" s="15">
        <f t="shared" si="29"/>
        <v>-34679.999999999993</v>
      </c>
      <c r="T405" s="16"/>
      <c r="U405" s="16"/>
    </row>
    <row r="406" spans="1:21" x14ac:dyDescent="0.25">
      <c r="A406" s="16" t="s">
        <v>37</v>
      </c>
      <c r="B406" s="16" t="s">
        <v>269</v>
      </c>
      <c r="C406" s="16" t="s">
        <v>270</v>
      </c>
      <c r="D406" s="16" t="s">
        <v>100</v>
      </c>
      <c r="E406" s="16" t="s">
        <v>101</v>
      </c>
      <c r="F406" s="16" t="s">
        <v>176</v>
      </c>
      <c r="G406" s="16" t="s">
        <v>177</v>
      </c>
      <c r="H406" s="16" t="s">
        <v>85</v>
      </c>
      <c r="I406" s="16" t="s">
        <v>40</v>
      </c>
      <c r="J406" s="16" t="s">
        <v>69</v>
      </c>
      <c r="K406" s="16" t="s">
        <v>70</v>
      </c>
      <c r="L406" s="15">
        <v>-2823.3816809013306</v>
      </c>
      <c r="M406" s="15">
        <v>-2823.3816809013306</v>
      </c>
      <c r="N406" s="15">
        <v>-2823.3799949900035</v>
      </c>
      <c r="O406" s="15">
        <v>-1.6859113266605164E-3</v>
      </c>
      <c r="P406" s="15">
        <v>0</v>
      </c>
      <c r="Q406" s="15">
        <f t="shared" si="28"/>
        <v>0</v>
      </c>
      <c r="R406" s="36">
        <v>0</v>
      </c>
      <c r="S406" s="15">
        <f t="shared" si="29"/>
        <v>0</v>
      </c>
      <c r="T406" s="16"/>
      <c r="U406" s="15">
        <f t="shared" ref="U406:U407" si="30">O406</f>
        <v>-1.6859113266605164E-3</v>
      </c>
    </row>
    <row r="407" spans="1:21" x14ac:dyDescent="0.25">
      <c r="A407" s="16" t="s">
        <v>37</v>
      </c>
      <c r="B407" s="16" t="s">
        <v>261</v>
      </c>
      <c r="C407" s="16" t="s">
        <v>262</v>
      </c>
      <c r="D407" s="16" t="s">
        <v>100</v>
      </c>
      <c r="E407" s="16" t="s">
        <v>101</v>
      </c>
      <c r="F407" s="16" t="s">
        <v>176</v>
      </c>
      <c r="G407" s="16" t="s">
        <v>177</v>
      </c>
      <c r="H407" s="16" t="s">
        <v>85</v>
      </c>
      <c r="I407" s="16" t="s">
        <v>40</v>
      </c>
      <c r="J407" s="16" t="s">
        <v>69</v>
      </c>
      <c r="K407" s="16" t="s">
        <v>70</v>
      </c>
      <c r="L407" s="15">
        <v>-16388.579996496002</v>
      </c>
      <c r="M407" s="15">
        <v>-16388.580000000002</v>
      </c>
      <c r="N407" s="15">
        <v>-14891.886400000001</v>
      </c>
      <c r="O407" s="15">
        <v>-1496.6935964959976</v>
      </c>
      <c r="P407" s="15">
        <v>0</v>
      </c>
      <c r="Q407" s="15">
        <f t="shared" si="28"/>
        <v>0</v>
      </c>
      <c r="R407" s="36">
        <v>0</v>
      </c>
      <c r="S407" s="15">
        <f t="shared" si="29"/>
        <v>0</v>
      </c>
      <c r="T407" s="16"/>
      <c r="U407" s="15">
        <f t="shared" si="30"/>
        <v>-1496.6935964959976</v>
      </c>
    </row>
    <row r="408" spans="1:21" x14ac:dyDescent="0.25">
      <c r="A408" s="16" t="s">
        <v>37</v>
      </c>
      <c r="B408" s="16" t="s">
        <v>269</v>
      </c>
      <c r="C408" s="16" t="s">
        <v>270</v>
      </c>
      <c r="D408" s="16" t="s">
        <v>100</v>
      </c>
      <c r="E408" s="16" t="s">
        <v>101</v>
      </c>
      <c r="F408" s="16" t="s">
        <v>178</v>
      </c>
      <c r="G408" s="16" t="s">
        <v>179</v>
      </c>
      <c r="H408" s="16" t="s">
        <v>85</v>
      </c>
      <c r="I408" s="16" t="s">
        <v>40</v>
      </c>
      <c r="J408" s="16" t="s">
        <v>38</v>
      </c>
      <c r="K408" s="16" t="s">
        <v>293</v>
      </c>
      <c r="L408" s="15">
        <v>-599670.67606809363</v>
      </c>
      <c r="M408" s="15">
        <v>-44580.246590751456</v>
      </c>
      <c r="N408" s="15">
        <v>-570812.96970201645</v>
      </c>
      <c r="O408" s="15">
        <v>-28857.706366077226</v>
      </c>
      <c r="P408" s="15">
        <v>-28857.706366077226</v>
      </c>
      <c r="Q408" s="15">
        <f>P408-R408+28858</f>
        <v>0.2936339227744611</v>
      </c>
      <c r="R408" s="36">
        <v>0</v>
      </c>
      <c r="S408" s="15">
        <f t="shared" si="29"/>
        <v>0.2936339227744611</v>
      </c>
      <c r="T408" s="16"/>
      <c r="U408" s="16"/>
    </row>
    <row r="409" spans="1:21" x14ac:dyDescent="0.25">
      <c r="A409" s="16" t="s">
        <v>37</v>
      </c>
      <c r="B409" s="16" t="s">
        <v>265</v>
      </c>
      <c r="C409" s="16" t="s">
        <v>266</v>
      </c>
      <c r="D409" s="16" t="s">
        <v>100</v>
      </c>
      <c r="E409" s="16" t="s">
        <v>101</v>
      </c>
      <c r="F409" s="16" t="s">
        <v>178</v>
      </c>
      <c r="G409" s="16" t="s">
        <v>179</v>
      </c>
      <c r="H409" s="16" t="s">
        <v>85</v>
      </c>
      <c r="I409" s="16" t="s">
        <v>40</v>
      </c>
      <c r="J409" s="16" t="s">
        <v>38</v>
      </c>
      <c r="K409" s="16" t="s">
        <v>293</v>
      </c>
      <c r="L409" s="15">
        <v>-617567.90083874192</v>
      </c>
      <c r="M409" s="15">
        <v>-13291.52027541761</v>
      </c>
      <c r="N409" s="15">
        <v>-572273.01751935342</v>
      </c>
      <c r="O409" s="15">
        <v>-45294.883319388638</v>
      </c>
      <c r="P409" s="15">
        <v>-45294.883319388638</v>
      </c>
      <c r="Q409" s="15">
        <f t="shared" si="28"/>
        <v>-45294.883319388638</v>
      </c>
      <c r="R409" s="36">
        <v>0</v>
      </c>
      <c r="S409" s="15">
        <f t="shared" si="29"/>
        <v>-45294.883319388638</v>
      </c>
      <c r="T409" s="16"/>
      <c r="U409" s="16"/>
    </row>
    <row r="410" spans="1:21" x14ac:dyDescent="0.25">
      <c r="A410" s="16" t="s">
        <v>37</v>
      </c>
      <c r="B410" s="16" t="s">
        <v>277</v>
      </c>
      <c r="C410" s="16" t="s">
        <v>278</v>
      </c>
      <c r="D410" s="16" t="s">
        <v>100</v>
      </c>
      <c r="E410" s="16" t="s">
        <v>101</v>
      </c>
      <c r="F410" s="16" t="s">
        <v>178</v>
      </c>
      <c r="G410" s="16" t="s">
        <v>179</v>
      </c>
      <c r="H410" s="16" t="s">
        <v>85</v>
      </c>
      <c r="I410" s="16" t="s">
        <v>40</v>
      </c>
      <c r="J410" s="16" t="s">
        <v>38</v>
      </c>
      <c r="K410" s="16" t="s">
        <v>293</v>
      </c>
      <c r="L410" s="15">
        <v>-878352.55020000017</v>
      </c>
      <c r="M410" s="15">
        <v>-147728.54999999999</v>
      </c>
      <c r="N410" s="15">
        <v>-878352.54920000001</v>
      </c>
      <c r="O410" s="15">
        <v>-9.9999998928979039E-4</v>
      </c>
      <c r="P410" s="15">
        <v>-9.9999998928979039E-4</v>
      </c>
      <c r="Q410" s="15">
        <f t="shared" si="28"/>
        <v>-9.9999998928979039E-4</v>
      </c>
      <c r="R410" s="36">
        <v>0</v>
      </c>
      <c r="S410" s="15">
        <f t="shared" si="29"/>
        <v>-9.9999998928979039E-4</v>
      </c>
      <c r="T410" s="16"/>
      <c r="U410" s="16"/>
    </row>
    <row r="411" spans="1:21" x14ac:dyDescent="0.25">
      <c r="A411" s="16" t="s">
        <v>37</v>
      </c>
      <c r="B411" s="16" t="s">
        <v>261</v>
      </c>
      <c r="C411" s="16" t="s">
        <v>262</v>
      </c>
      <c r="D411" s="16" t="s">
        <v>100</v>
      </c>
      <c r="E411" s="16" t="s">
        <v>101</v>
      </c>
      <c r="F411" s="16" t="s">
        <v>178</v>
      </c>
      <c r="G411" s="16" t="s">
        <v>179</v>
      </c>
      <c r="H411" s="16" t="s">
        <v>85</v>
      </c>
      <c r="I411" s="16" t="s">
        <v>40</v>
      </c>
      <c r="J411" s="16" t="s">
        <v>38</v>
      </c>
      <c r="K411" s="16" t="s">
        <v>293</v>
      </c>
      <c r="L411" s="15">
        <v>-868961.53581067524</v>
      </c>
      <c r="M411" s="15">
        <v>-9576.56</v>
      </c>
      <c r="N411" s="15">
        <v>-744341.56553824153</v>
      </c>
      <c r="O411" s="15">
        <v>-124619.97027243386</v>
      </c>
      <c r="P411" s="15">
        <v>-124619.97027243386</v>
      </c>
      <c r="Q411" s="15">
        <f t="shared" si="28"/>
        <v>-124619.97027243386</v>
      </c>
      <c r="R411" s="36">
        <v>0</v>
      </c>
      <c r="S411" s="15">
        <f t="shared" si="29"/>
        <v>-124619.97027243386</v>
      </c>
      <c r="T411" s="16"/>
      <c r="U411" s="16"/>
    </row>
    <row r="412" spans="1:21" x14ac:dyDescent="0.25">
      <c r="A412" s="16" t="s">
        <v>37</v>
      </c>
      <c r="B412" s="16" t="s">
        <v>257</v>
      </c>
      <c r="C412" s="16" t="s">
        <v>258</v>
      </c>
      <c r="D412" s="16" t="s">
        <v>100</v>
      </c>
      <c r="E412" s="16" t="s">
        <v>101</v>
      </c>
      <c r="F412" s="16" t="s">
        <v>178</v>
      </c>
      <c r="G412" s="16" t="s">
        <v>179</v>
      </c>
      <c r="H412" s="16" t="s">
        <v>85</v>
      </c>
      <c r="I412" s="16" t="s">
        <v>40</v>
      </c>
      <c r="J412" s="16" t="s">
        <v>38</v>
      </c>
      <c r="K412" s="16" t="s">
        <v>293</v>
      </c>
      <c r="L412" s="15">
        <v>-5085626.7946789786</v>
      </c>
      <c r="M412" s="15">
        <v>-402811.03836636822</v>
      </c>
      <c r="N412" s="15">
        <v>-3031608.8322435846</v>
      </c>
      <c r="O412" s="15">
        <v>-2054017.9624353938</v>
      </c>
      <c r="P412" s="15">
        <v>-2054017.9624353938</v>
      </c>
      <c r="Q412" s="15">
        <f>P412-R412+P408-515780.12-33.08</f>
        <v>-2598688.8688014713</v>
      </c>
      <c r="R412" s="36">
        <v>0</v>
      </c>
      <c r="S412" s="15">
        <f t="shared" si="29"/>
        <v>-2598688.8688014713</v>
      </c>
      <c r="T412" s="16"/>
      <c r="U412" s="26"/>
    </row>
    <row r="413" spans="1:21" x14ac:dyDescent="0.25">
      <c r="A413" s="16" t="s">
        <v>37</v>
      </c>
      <c r="B413" s="16" t="s">
        <v>257</v>
      </c>
      <c r="C413" s="16" t="s">
        <v>258</v>
      </c>
      <c r="D413" s="16" t="s">
        <v>100</v>
      </c>
      <c r="E413" s="16" t="s">
        <v>101</v>
      </c>
      <c r="F413" s="16" t="s">
        <v>178</v>
      </c>
      <c r="G413" s="16" t="s">
        <v>179</v>
      </c>
      <c r="H413" s="16" t="s">
        <v>85</v>
      </c>
      <c r="I413" s="16" t="s">
        <v>40</v>
      </c>
      <c r="J413" s="16" t="s">
        <v>300</v>
      </c>
      <c r="K413" s="16" t="s">
        <v>301</v>
      </c>
      <c r="L413" s="15">
        <v>-1610.1694915254241</v>
      </c>
      <c r="M413" s="15">
        <v>0</v>
      </c>
      <c r="N413" s="15">
        <v>-1610</v>
      </c>
      <c r="O413" s="15">
        <v>-0.16949152542400725</v>
      </c>
      <c r="P413" s="15">
        <v>-0.16949152542400725</v>
      </c>
      <c r="Q413" s="15">
        <f t="shared" si="28"/>
        <v>-0.16949152542400725</v>
      </c>
      <c r="R413" s="36">
        <v>0</v>
      </c>
      <c r="S413" s="15">
        <f t="shared" si="29"/>
        <v>-0.16949152542400725</v>
      </c>
      <c r="T413" s="16"/>
      <c r="U413" s="26"/>
    </row>
    <row r="414" spans="1:21" x14ac:dyDescent="0.25">
      <c r="A414" s="16" t="s">
        <v>37</v>
      </c>
      <c r="B414" s="16" t="s">
        <v>257</v>
      </c>
      <c r="C414" s="16" t="s">
        <v>258</v>
      </c>
      <c r="D414" s="16" t="s">
        <v>100</v>
      </c>
      <c r="E414" s="16" t="s">
        <v>101</v>
      </c>
      <c r="F414" s="16" t="s">
        <v>178</v>
      </c>
      <c r="G414" s="16" t="s">
        <v>179</v>
      </c>
      <c r="H414" s="16" t="s">
        <v>85</v>
      </c>
      <c r="I414" s="16" t="s">
        <v>40</v>
      </c>
      <c r="J414" s="16" t="s">
        <v>142</v>
      </c>
      <c r="K414" s="16" t="s">
        <v>143</v>
      </c>
      <c r="L414" s="15">
        <v>-22574.776000000002</v>
      </c>
      <c r="M414" s="15">
        <v>0</v>
      </c>
      <c r="N414" s="15">
        <v>0</v>
      </c>
      <c r="O414" s="15">
        <v>-22574.776000000002</v>
      </c>
      <c r="P414" s="15">
        <v>-22574.776000000002</v>
      </c>
      <c r="Q414" s="15">
        <f t="shared" si="28"/>
        <v>-22574.776000000002</v>
      </c>
      <c r="R414" s="36">
        <v>0</v>
      </c>
      <c r="S414" s="15">
        <f t="shared" si="29"/>
        <v>-22574.776000000002</v>
      </c>
      <c r="T414" s="16"/>
      <c r="U414" s="26"/>
    </row>
    <row r="415" spans="1:21" x14ac:dyDescent="0.25">
      <c r="A415" s="16" t="s">
        <v>37</v>
      </c>
      <c r="B415" s="16" t="s">
        <v>269</v>
      </c>
      <c r="C415" s="16" t="s">
        <v>270</v>
      </c>
      <c r="D415" s="16" t="s">
        <v>100</v>
      </c>
      <c r="E415" s="16" t="s">
        <v>101</v>
      </c>
      <c r="F415" s="16" t="s">
        <v>178</v>
      </c>
      <c r="G415" s="16" t="s">
        <v>179</v>
      </c>
      <c r="H415" s="16" t="s">
        <v>85</v>
      </c>
      <c r="I415" s="16" t="s">
        <v>40</v>
      </c>
      <c r="J415" s="16" t="s">
        <v>130</v>
      </c>
      <c r="K415" s="16" t="s">
        <v>131</v>
      </c>
      <c r="L415" s="15">
        <v>-8977.2300000309951</v>
      </c>
      <c r="M415" s="15">
        <v>-8977.2300000309951</v>
      </c>
      <c r="N415" s="15">
        <v>0</v>
      </c>
      <c r="O415" s="15">
        <v>-8977.2300000309951</v>
      </c>
      <c r="P415" s="15">
        <v>-8977.2300000309951</v>
      </c>
      <c r="Q415" s="15">
        <f t="shared" si="28"/>
        <v>-8977.2300000309951</v>
      </c>
      <c r="R415" s="36">
        <v>0</v>
      </c>
      <c r="S415" s="15">
        <f t="shared" si="29"/>
        <v>-8977.2300000309951</v>
      </c>
      <c r="T415" s="16"/>
      <c r="U415" s="16"/>
    </row>
    <row r="416" spans="1:21" x14ac:dyDescent="0.25">
      <c r="A416" s="16" t="s">
        <v>37</v>
      </c>
      <c r="B416" s="16" t="s">
        <v>257</v>
      </c>
      <c r="C416" s="16" t="s">
        <v>258</v>
      </c>
      <c r="D416" s="16" t="s">
        <v>100</v>
      </c>
      <c r="E416" s="16" t="s">
        <v>101</v>
      </c>
      <c r="F416" s="16" t="s">
        <v>178</v>
      </c>
      <c r="G416" s="16" t="s">
        <v>179</v>
      </c>
      <c r="H416" s="16" t="s">
        <v>85</v>
      </c>
      <c r="I416" s="16" t="s">
        <v>40</v>
      </c>
      <c r="J416" s="16" t="s">
        <v>296</v>
      </c>
      <c r="K416" s="16" t="s">
        <v>297</v>
      </c>
      <c r="L416" s="15">
        <v>-1060.989999358</v>
      </c>
      <c r="M416" s="15">
        <v>0</v>
      </c>
      <c r="N416" s="15">
        <v>-560.3043439999999</v>
      </c>
      <c r="O416" s="15">
        <v>-500.68565535800008</v>
      </c>
      <c r="P416" s="15">
        <v>-500.68565535800008</v>
      </c>
      <c r="Q416" s="15">
        <f t="shared" si="28"/>
        <v>-500.68565535800008</v>
      </c>
      <c r="R416" s="36">
        <v>0</v>
      </c>
      <c r="S416" s="15">
        <f t="shared" si="29"/>
        <v>-500.68565535800008</v>
      </c>
      <c r="T416" s="16"/>
      <c r="U416" s="26"/>
    </row>
    <row r="417" spans="1:21" x14ac:dyDescent="0.25">
      <c r="A417" s="16" t="s">
        <v>37</v>
      </c>
      <c r="B417" s="16" t="s">
        <v>269</v>
      </c>
      <c r="C417" s="16" t="s">
        <v>270</v>
      </c>
      <c r="D417" s="16" t="s">
        <v>100</v>
      </c>
      <c r="E417" s="16" t="s">
        <v>101</v>
      </c>
      <c r="F417" s="16" t="s">
        <v>178</v>
      </c>
      <c r="G417" s="16" t="s">
        <v>179</v>
      </c>
      <c r="H417" s="16" t="s">
        <v>85</v>
      </c>
      <c r="I417" s="16" t="s">
        <v>40</v>
      </c>
      <c r="J417" s="16" t="s">
        <v>124</v>
      </c>
      <c r="K417" s="16" t="s">
        <v>125</v>
      </c>
      <c r="L417" s="15">
        <v>-993.19764274153135</v>
      </c>
      <c r="M417" s="15">
        <v>0</v>
      </c>
      <c r="N417" s="15">
        <v>-786.56999999999948</v>
      </c>
      <c r="O417" s="15">
        <v>-206.62764274153199</v>
      </c>
      <c r="P417" s="15">
        <v>0</v>
      </c>
      <c r="Q417" s="15">
        <f t="shared" si="28"/>
        <v>0</v>
      </c>
      <c r="R417" s="36">
        <v>0</v>
      </c>
      <c r="S417" s="15">
        <f t="shared" si="29"/>
        <v>0</v>
      </c>
      <c r="T417" s="16"/>
      <c r="U417" s="16"/>
    </row>
    <row r="418" spans="1:21" x14ac:dyDescent="0.25">
      <c r="A418" s="16" t="s">
        <v>37</v>
      </c>
      <c r="B418" s="16" t="s">
        <v>265</v>
      </c>
      <c r="C418" s="16" t="s">
        <v>266</v>
      </c>
      <c r="D418" s="16" t="s">
        <v>100</v>
      </c>
      <c r="E418" s="16" t="s">
        <v>101</v>
      </c>
      <c r="F418" s="16" t="s">
        <v>178</v>
      </c>
      <c r="G418" s="16" t="s">
        <v>179</v>
      </c>
      <c r="H418" s="16" t="s">
        <v>85</v>
      </c>
      <c r="I418" s="16" t="s">
        <v>40</v>
      </c>
      <c r="J418" s="16" t="s">
        <v>124</v>
      </c>
      <c r="K418" s="16" t="s">
        <v>125</v>
      </c>
      <c r="L418" s="15">
        <v>-145496.28179522578</v>
      </c>
      <c r="M418" s="15">
        <v>0</v>
      </c>
      <c r="N418" s="15">
        <v>-144387.51979604573</v>
      </c>
      <c r="O418" s="15">
        <v>-1108.7619991800748</v>
      </c>
      <c r="P418" s="15">
        <v>0</v>
      </c>
      <c r="Q418" s="15">
        <f t="shared" si="28"/>
        <v>0</v>
      </c>
      <c r="R418" s="36">
        <v>0</v>
      </c>
      <c r="S418" s="15">
        <f t="shared" si="29"/>
        <v>0</v>
      </c>
      <c r="T418" s="16"/>
      <c r="U418" s="16"/>
    </row>
    <row r="419" spans="1:21" x14ac:dyDescent="0.25">
      <c r="A419" s="16" t="s">
        <v>37</v>
      </c>
      <c r="B419" s="16" t="s">
        <v>277</v>
      </c>
      <c r="C419" s="16" t="s">
        <v>278</v>
      </c>
      <c r="D419" s="16" t="s">
        <v>100</v>
      </c>
      <c r="E419" s="16" t="s">
        <v>101</v>
      </c>
      <c r="F419" s="16" t="s">
        <v>178</v>
      </c>
      <c r="G419" s="16" t="s">
        <v>179</v>
      </c>
      <c r="H419" s="16" t="s">
        <v>85</v>
      </c>
      <c r="I419" s="16" t="s">
        <v>40</v>
      </c>
      <c r="J419" s="16" t="s">
        <v>124</v>
      </c>
      <c r="K419" s="16" t="s">
        <v>125</v>
      </c>
      <c r="L419" s="15">
        <v>-196240</v>
      </c>
      <c r="M419" s="15">
        <v>0</v>
      </c>
      <c r="N419" s="15">
        <v>-154794.64000000001</v>
      </c>
      <c r="O419" s="15">
        <v>-41445.36000000003</v>
      </c>
      <c r="P419" s="15">
        <v>0</v>
      </c>
      <c r="Q419" s="15">
        <f t="shared" si="28"/>
        <v>0</v>
      </c>
      <c r="R419" s="36">
        <v>0</v>
      </c>
      <c r="S419" s="15">
        <f t="shared" si="29"/>
        <v>0</v>
      </c>
      <c r="T419" s="16"/>
      <c r="U419" s="16"/>
    </row>
    <row r="420" spans="1:21" x14ac:dyDescent="0.25">
      <c r="A420" s="16" t="s">
        <v>37</v>
      </c>
      <c r="B420" s="16" t="s">
        <v>261</v>
      </c>
      <c r="C420" s="16" t="s">
        <v>262</v>
      </c>
      <c r="D420" s="16" t="s">
        <v>100</v>
      </c>
      <c r="E420" s="16" t="s">
        <v>101</v>
      </c>
      <c r="F420" s="16" t="s">
        <v>178</v>
      </c>
      <c r="G420" s="16" t="s">
        <v>179</v>
      </c>
      <c r="H420" s="16" t="s">
        <v>85</v>
      </c>
      <c r="I420" s="16" t="s">
        <v>40</v>
      </c>
      <c r="J420" s="16" t="s">
        <v>124</v>
      </c>
      <c r="K420" s="16" t="s">
        <v>125</v>
      </c>
      <c r="L420" s="15">
        <v>-50257.803028530005</v>
      </c>
      <c r="M420" s="15">
        <v>0</v>
      </c>
      <c r="N420" s="15">
        <v>-47060.817079905602</v>
      </c>
      <c r="O420" s="15">
        <v>-3196.9859486243968</v>
      </c>
      <c r="P420" s="15">
        <v>0</v>
      </c>
      <c r="Q420" s="15">
        <f t="shared" si="28"/>
        <v>0</v>
      </c>
      <c r="R420" s="36">
        <v>0</v>
      </c>
      <c r="S420" s="15">
        <f t="shared" si="29"/>
        <v>0</v>
      </c>
      <c r="T420" s="16"/>
      <c r="U420" s="16"/>
    </row>
    <row r="421" spans="1:21" x14ac:dyDescent="0.25">
      <c r="A421" s="16" t="s">
        <v>37</v>
      </c>
      <c r="B421" s="16" t="s">
        <v>257</v>
      </c>
      <c r="C421" s="16" t="s">
        <v>258</v>
      </c>
      <c r="D421" s="16" t="s">
        <v>100</v>
      </c>
      <c r="E421" s="16" t="s">
        <v>101</v>
      </c>
      <c r="F421" s="16" t="s">
        <v>178</v>
      </c>
      <c r="G421" s="16" t="s">
        <v>179</v>
      </c>
      <c r="H421" s="16" t="s">
        <v>85</v>
      </c>
      <c r="I421" s="16" t="s">
        <v>40</v>
      </c>
      <c r="J421" s="16" t="s">
        <v>124</v>
      </c>
      <c r="K421" s="16" t="s">
        <v>125</v>
      </c>
      <c r="L421" s="15">
        <v>-99.70259999999999</v>
      </c>
      <c r="M421" s="15">
        <v>0</v>
      </c>
      <c r="N421" s="15">
        <v>-75.437747999999999</v>
      </c>
      <c r="O421" s="15">
        <v>-24.264851999999991</v>
      </c>
      <c r="P421" s="15">
        <v>0</v>
      </c>
      <c r="Q421" s="15">
        <f t="shared" si="28"/>
        <v>0</v>
      </c>
      <c r="R421" s="36">
        <v>0</v>
      </c>
      <c r="S421" s="15">
        <f t="shared" si="29"/>
        <v>0</v>
      </c>
      <c r="T421" s="16"/>
      <c r="U421" s="26"/>
    </row>
    <row r="422" spans="1:21" x14ac:dyDescent="0.25">
      <c r="A422" s="16" t="s">
        <v>37</v>
      </c>
      <c r="B422" s="16" t="s">
        <v>257</v>
      </c>
      <c r="C422" s="16" t="s">
        <v>258</v>
      </c>
      <c r="D422" s="16" t="s">
        <v>100</v>
      </c>
      <c r="E422" s="16" t="s">
        <v>101</v>
      </c>
      <c r="F422" s="16" t="s">
        <v>178</v>
      </c>
      <c r="G422" s="16" t="s">
        <v>179</v>
      </c>
      <c r="H422" s="16" t="s">
        <v>85</v>
      </c>
      <c r="I422" s="16" t="s">
        <v>40</v>
      </c>
      <c r="J422" s="16" t="s">
        <v>298</v>
      </c>
      <c r="K422" s="16" t="s">
        <v>299</v>
      </c>
      <c r="L422" s="15">
        <v>-2910.1569307800005</v>
      </c>
      <c r="M422" s="15">
        <v>-119.05663800000001</v>
      </c>
      <c r="N422" s="15">
        <v>-1850.7958025768003</v>
      </c>
      <c r="O422" s="15">
        <v>-1059.3611282032011</v>
      </c>
      <c r="P422" s="15">
        <v>-1059.3611282032011</v>
      </c>
      <c r="Q422" s="15">
        <f t="shared" si="28"/>
        <v>-1059.3611282032011</v>
      </c>
      <c r="R422" s="36">
        <v>0</v>
      </c>
      <c r="S422" s="15">
        <f t="shared" si="29"/>
        <v>-1059.3611282032011</v>
      </c>
      <c r="T422" s="16"/>
      <c r="U422" s="26"/>
    </row>
    <row r="423" spans="1:21" x14ac:dyDescent="0.25">
      <c r="A423" s="16" t="s">
        <v>37</v>
      </c>
      <c r="B423" s="16" t="s">
        <v>269</v>
      </c>
      <c r="C423" s="16" t="s">
        <v>270</v>
      </c>
      <c r="D423" s="16" t="s">
        <v>100</v>
      </c>
      <c r="E423" s="16" t="s">
        <v>101</v>
      </c>
      <c r="F423" s="16" t="s">
        <v>178</v>
      </c>
      <c r="G423" s="16" t="s">
        <v>179</v>
      </c>
      <c r="H423" s="16" t="s">
        <v>85</v>
      </c>
      <c r="I423" s="16" t="s">
        <v>40</v>
      </c>
      <c r="J423" s="16" t="s">
        <v>132</v>
      </c>
      <c r="K423" s="16" t="s">
        <v>133</v>
      </c>
      <c r="L423" s="15">
        <v>-34394.586355428575</v>
      </c>
      <c r="M423" s="15">
        <v>-34394.586355428575</v>
      </c>
      <c r="N423" s="15">
        <v>-34394.579993727326</v>
      </c>
      <c r="O423" s="15">
        <v>-6.3617012474423973E-3</v>
      </c>
      <c r="P423" s="15">
        <v>0</v>
      </c>
      <c r="Q423" s="15">
        <f t="shared" si="28"/>
        <v>0</v>
      </c>
      <c r="R423" s="36">
        <v>0</v>
      </c>
      <c r="S423" s="15">
        <f t="shared" si="29"/>
        <v>0</v>
      </c>
      <c r="T423" s="16"/>
      <c r="U423" s="16"/>
    </row>
    <row r="424" spans="1:21" x14ac:dyDescent="0.25">
      <c r="A424" s="16" t="s">
        <v>37</v>
      </c>
      <c r="B424" s="16" t="s">
        <v>257</v>
      </c>
      <c r="C424" s="16" t="s">
        <v>258</v>
      </c>
      <c r="D424" s="16" t="s">
        <v>100</v>
      </c>
      <c r="E424" s="16" t="s">
        <v>101</v>
      </c>
      <c r="F424" s="16" t="s">
        <v>178</v>
      </c>
      <c r="G424" s="16" t="s">
        <v>179</v>
      </c>
      <c r="H424" s="16" t="s">
        <v>85</v>
      </c>
      <c r="I424" s="16" t="s">
        <v>40</v>
      </c>
      <c r="J424" s="16" t="s">
        <v>302</v>
      </c>
      <c r="K424" s="16" t="s">
        <v>303</v>
      </c>
      <c r="L424" s="15">
        <v>-3389.8305042372876</v>
      </c>
      <c r="M424" s="15">
        <v>0</v>
      </c>
      <c r="N424" s="15">
        <v>-1610.0000000000002</v>
      </c>
      <c r="O424" s="15">
        <v>-1779.8305042372876</v>
      </c>
      <c r="P424" s="15">
        <v>-1779.8305042372876</v>
      </c>
      <c r="Q424" s="15">
        <v>0</v>
      </c>
      <c r="R424" s="36">
        <v>0</v>
      </c>
      <c r="S424" s="15">
        <f t="shared" si="29"/>
        <v>0</v>
      </c>
      <c r="T424" s="16"/>
      <c r="U424" s="26"/>
    </row>
    <row r="425" spans="1:21" x14ac:dyDescent="0.25">
      <c r="A425" s="16" t="s">
        <v>37</v>
      </c>
      <c r="B425" s="16" t="s">
        <v>269</v>
      </c>
      <c r="C425" s="16" t="s">
        <v>270</v>
      </c>
      <c r="D425" s="16" t="s">
        <v>100</v>
      </c>
      <c r="E425" s="16" t="s">
        <v>101</v>
      </c>
      <c r="F425" s="16" t="s">
        <v>178</v>
      </c>
      <c r="G425" s="16" t="s">
        <v>179</v>
      </c>
      <c r="H425" s="16" t="s">
        <v>85</v>
      </c>
      <c r="I425" s="16" t="s">
        <v>40</v>
      </c>
      <c r="J425" s="16" t="s">
        <v>64</v>
      </c>
      <c r="K425" s="16" t="s">
        <v>65</v>
      </c>
      <c r="L425" s="15">
        <v>-110422.1152965644</v>
      </c>
      <c r="M425" s="15">
        <v>0</v>
      </c>
      <c r="N425" s="15">
        <v>-105922.11983215594</v>
      </c>
      <c r="O425" s="15">
        <v>-4499.9954644084819</v>
      </c>
      <c r="P425" s="15">
        <v>-4499.9954644084819</v>
      </c>
      <c r="Q425" s="15">
        <f t="shared" si="28"/>
        <v>-4499.9954644084819</v>
      </c>
      <c r="R425" s="36">
        <v>0</v>
      </c>
      <c r="S425" s="15">
        <f t="shared" si="29"/>
        <v>-4499.9954644084819</v>
      </c>
      <c r="T425" s="16"/>
      <c r="U425" s="16"/>
    </row>
    <row r="426" spans="1:21" x14ac:dyDescent="0.25">
      <c r="A426" s="16" t="s">
        <v>37</v>
      </c>
      <c r="B426" s="16" t="s">
        <v>269</v>
      </c>
      <c r="C426" s="16" t="s">
        <v>270</v>
      </c>
      <c r="D426" s="16" t="s">
        <v>100</v>
      </c>
      <c r="E426" s="16" t="s">
        <v>101</v>
      </c>
      <c r="F426" s="16" t="s">
        <v>178</v>
      </c>
      <c r="G426" s="16" t="s">
        <v>179</v>
      </c>
      <c r="H426" s="16" t="s">
        <v>85</v>
      </c>
      <c r="I426" s="16" t="s">
        <v>40</v>
      </c>
      <c r="J426" s="16" t="s">
        <v>66</v>
      </c>
      <c r="K426" s="16" t="s">
        <v>63</v>
      </c>
      <c r="L426" s="15">
        <v>-118635.98061687261</v>
      </c>
      <c r="M426" s="15">
        <v>-118635.98061687261</v>
      </c>
      <c r="N426" s="15">
        <v>-118635.98989940737</v>
      </c>
      <c r="O426" s="15">
        <v>9.2825347774123657E-3</v>
      </c>
      <c r="P426" s="15">
        <v>0</v>
      </c>
      <c r="Q426" s="15">
        <f t="shared" si="28"/>
        <v>0</v>
      </c>
      <c r="R426" s="36">
        <v>0</v>
      </c>
      <c r="S426" s="15">
        <f t="shared" si="29"/>
        <v>0</v>
      </c>
      <c r="T426" s="16"/>
      <c r="U426" s="16"/>
    </row>
    <row r="427" spans="1:21" x14ac:dyDescent="0.25">
      <c r="A427" s="16" t="s">
        <v>37</v>
      </c>
      <c r="B427" s="16" t="s">
        <v>269</v>
      </c>
      <c r="C427" s="16" t="s">
        <v>270</v>
      </c>
      <c r="D427" s="16" t="s">
        <v>100</v>
      </c>
      <c r="E427" s="16" t="s">
        <v>101</v>
      </c>
      <c r="F427" s="16" t="s">
        <v>178</v>
      </c>
      <c r="G427" s="16" t="s">
        <v>179</v>
      </c>
      <c r="H427" s="16" t="s">
        <v>85</v>
      </c>
      <c r="I427" s="16" t="s">
        <v>40</v>
      </c>
      <c r="J427" s="16" t="s">
        <v>67</v>
      </c>
      <c r="K427" s="16" t="s">
        <v>68</v>
      </c>
      <c r="L427" s="15">
        <v>-23220</v>
      </c>
      <c r="M427" s="15">
        <v>0</v>
      </c>
      <c r="N427" s="15">
        <v>0</v>
      </c>
      <c r="O427" s="15">
        <v>-23220</v>
      </c>
      <c r="P427" s="15">
        <v>-23220</v>
      </c>
      <c r="Q427" s="15">
        <f t="shared" si="28"/>
        <v>-23220</v>
      </c>
      <c r="R427" s="36">
        <v>0</v>
      </c>
      <c r="S427" s="15">
        <f t="shared" si="29"/>
        <v>-23220</v>
      </c>
      <c r="T427" s="16"/>
      <c r="U427" s="16"/>
    </row>
    <row r="428" spans="1:21" x14ac:dyDescent="0.25">
      <c r="A428" s="16" t="s">
        <v>37</v>
      </c>
      <c r="B428" s="16" t="s">
        <v>257</v>
      </c>
      <c r="C428" s="16" t="s">
        <v>258</v>
      </c>
      <c r="D428" s="16" t="s">
        <v>100</v>
      </c>
      <c r="E428" s="16" t="s">
        <v>101</v>
      </c>
      <c r="F428" s="16" t="s">
        <v>178</v>
      </c>
      <c r="G428" s="16" t="s">
        <v>179</v>
      </c>
      <c r="H428" s="16" t="s">
        <v>85</v>
      </c>
      <c r="I428" s="16" t="s">
        <v>40</v>
      </c>
      <c r="J428" s="16" t="s">
        <v>67</v>
      </c>
      <c r="K428" s="16" t="s">
        <v>68</v>
      </c>
      <c r="L428" s="15">
        <v>-1780</v>
      </c>
      <c r="M428" s="15">
        <v>0</v>
      </c>
      <c r="N428" s="15">
        <v>0</v>
      </c>
      <c r="O428" s="15">
        <v>-1780</v>
      </c>
      <c r="P428" s="15">
        <v>-1780</v>
      </c>
      <c r="Q428" s="15">
        <f t="shared" si="28"/>
        <v>-1780</v>
      </c>
      <c r="R428" s="36">
        <v>0</v>
      </c>
      <c r="S428" s="15">
        <f t="shared" si="29"/>
        <v>-1780</v>
      </c>
      <c r="T428" s="16"/>
      <c r="U428" s="26"/>
    </row>
    <row r="429" spans="1:21" x14ac:dyDescent="0.25">
      <c r="A429" s="16" t="s">
        <v>37</v>
      </c>
      <c r="B429" s="16" t="s">
        <v>269</v>
      </c>
      <c r="C429" s="16" t="s">
        <v>270</v>
      </c>
      <c r="D429" s="16" t="s">
        <v>100</v>
      </c>
      <c r="E429" s="16" t="s">
        <v>101</v>
      </c>
      <c r="F429" s="16" t="s">
        <v>178</v>
      </c>
      <c r="G429" s="16" t="s">
        <v>179</v>
      </c>
      <c r="H429" s="16" t="s">
        <v>85</v>
      </c>
      <c r="I429" s="16" t="s">
        <v>40</v>
      </c>
      <c r="J429" s="16" t="s">
        <v>69</v>
      </c>
      <c r="K429" s="16" t="s">
        <v>70</v>
      </c>
      <c r="L429" s="15">
        <v>-4231.8467089546812</v>
      </c>
      <c r="M429" s="15">
        <v>-4231.8467089546812</v>
      </c>
      <c r="N429" s="15">
        <v>-4231.8499924907192</v>
      </c>
      <c r="O429" s="15">
        <v>3.2835360375429445E-3</v>
      </c>
      <c r="P429" s="15">
        <v>0</v>
      </c>
      <c r="Q429" s="15">
        <f t="shared" si="28"/>
        <v>0</v>
      </c>
      <c r="R429" s="36">
        <v>0</v>
      </c>
      <c r="S429" s="15">
        <f t="shared" si="29"/>
        <v>0</v>
      </c>
      <c r="T429" s="16"/>
      <c r="U429" s="15">
        <f t="shared" ref="U429:U431" si="31">O429</f>
        <v>3.2835360375429445E-3</v>
      </c>
    </row>
    <row r="430" spans="1:21" x14ac:dyDescent="0.25">
      <c r="A430" s="16" t="s">
        <v>37</v>
      </c>
      <c r="B430" s="16" t="s">
        <v>261</v>
      </c>
      <c r="C430" s="16" t="s">
        <v>262</v>
      </c>
      <c r="D430" s="16" t="s">
        <v>100</v>
      </c>
      <c r="E430" s="16" t="s">
        <v>101</v>
      </c>
      <c r="F430" s="16" t="s">
        <v>178</v>
      </c>
      <c r="G430" s="16" t="s">
        <v>179</v>
      </c>
      <c r="H430" s="16" t="s">
        <v>85</v>
      </c>
      <c r="I430" s="16" t="s">
        <v>40</v>
      </c>
      <c r="J430" s="16" t="s">
        <v>69</v>
      </c>
      <c r="K430" s="16" t="s">
        <v>70</v>
      </c>
      <c r="L430" s="15">
        <v>-4429.2199990529998</v>
      </c>
      <c r="M430" s="15">
        <v>-4429.22</v>
      </c>
      <c r="N430" s="15">
        <v>-5509.6238000000003</v>
      </c>
      <c r="O430" s="15">
        <v>1080.403800947</v>
      </c>
      <c r="P430" s="15">
        <v>0</v>
      </c>
      <c r="Q430" s="15">
        <f t="shared" si="28"/>
        <v>0</v>
      </c>
      <c r="R430" s="36">
        <v>0</v>
      </c>
      <c r="S430" s="15">
        <f t="shared" si="29"/>
        <v>0</v>
      </c>
      <c r="T430" s="16"/>
      <c r="U430" s="15">
        <f t="shared" si="31"/>
        <v>1080.403800947</v>
      </c>
    </row>
    <row r="431" spans="1:21" x14ac:dyDescent="0.25">
      <c r="A431" s="16" t="s">
        <v>37</v>
      </c>
      <c r="B431" s="16" t="s">
        <v>257</v>
      </c>
      <c r="C431" s="16" t="s">
        <v>258</v>
      </c>
      <c r="D431" s="16" t="s">
        <v>100</v>
      </c>
      <c r="E431" s="16" t="s">
        <v>101</v>
      </c>
      <c r="F431" s="16" t="s">
        <v>178</v>
      </c>
      <c r="G431" s="16" t="s">
        <v>179</v>
      </c>
      <c r="H431" s="16" t="s">
        <v>85</v>
      </c>
      <c r="I431" s="16" t="s">
        <v>40</v>
      </c>
      <c r="J431" s="16" t="s">
        <v>69</v>
      </c>
      <c r="K431" s="16" t="s">
        <v>70</v>
      </c>
      <c r="L431" s="15">
        <v>-1185.1687260000001</v>
      </c>
      <c r="M431" s="15">
        <v>-1185.1687260000001</v>
      </c>
      <c r="N431" s="15">
        <v>-1170.1693042200002</v>
      </c>
      <c r="O431" s="15">
        <v>-14.999421779999807</v>
      </c>
      <c r="P431" s="15">
        <v>0</v>
      </c>
      <c r="Q431" s="15">
        <f t="shared" si="28"/>
        <v>0</v>
      </c>
      <c r="R431" s="36">
        <v>0</v>
      </c>
      <c r="S431" s="15">
        <f t="shared" si="29"/>
        <v>0</v>
      </c>
      <c r="T431" s="16"/>
      <c r="U431" s="15">
        <f t="shared" si="31"/>
        <v>-14.999421779999807</v>
      </c>
    </row>
    <row r="432" spans="1:21" x14ac:dyDescent="0.25">
      <c r="A432" s="16" t="s">
        <v>37</v>
      </c>
      <c r="B432" s="16" t="s">
        <v>257</v>
      </c>
      <c r="C432" s="16" t="s">
        <v>258</v>
      </c>
      <c r="D432" s="16" t="s">
        <v>100</v>
      </c>
      <c r="E432" s="16" t="s">
        <v>101</v>
      </c>
      <c r="F432" s="16" t="s">
        <v>178</v>
      </c>
      <c r="G432" s="16" t="s">
        <v>179</v>
      </c>
      <c r="H432" s="16" t="s">
        <v>85</v>
      </c>
      <c r="I432" s="16" t="s">
        <v>40</v>
      </c>
      <c r="J432" s="16" t="s">
        <v>136</v>
      </c>
      <c r="K432" s="16" t="s">
        <v>137</v>
      </c>
      <c r="L432" s="15">
        <v>-30212.600000000024</v>
      </c>
      <c r="M432" s="15">
        <v>0</v>
      </c>
      <c r="N432" s="15">
        <v>-30212.6</v>
      </c>
      <c r="O432" s="15">
        <v>-2.5465851649641991E-11</v>
      </c>
      <c r="P432" s="15">
        <v>-2.5465851649641991E-11</v>
      </c>
      <c r="Q432" s="15">
        <f t="shared" si="28"/>
        <v>-2.5465851649641991E-11</v>
      </c>
      <c r="R432" s="36">
        <v>0</v>
      </c>
      <c r="S432" s="15">
        <f t="shared" si="29"/>
        <v>-2.5465851649641991E-11</v>
      </c>
      <c r="T432" s="16"/>
      <c r="U432" s="26"/>
    </row>
    <row r="433" spans="1:21" x14ac:dyDescent="0.25">
      <c r="A433" s="16" t="s">
        <v>37</v>
      </c>
      <c r="B433" s="16" t="s">
        <v>265</v>
      </c>
      <c r="C433" s="16" t="s">
        <v>266</v>
      </c>
      <c r="D433" s="16" t="s">
        <v>100</v>
      </c>
      <c r="E433" s="16" t="s">
        <v>101</v>
      </c>
      <c r="F433" s="16" t="s">
        <v>178</v>
      </c>
      <c r="G433" s="16" t="s">
        <v>179</v>
      </c>
      <c r="H433" s="16" t="s">
        <v>85</v>
      </c>
      <c r="I433" s="16" t="s">
        <v>40</v>
      </c>
      <c r="J433" s="16" t="s">
        <v>138</v>
      </c>
      <c r="K433" s="16" t="s">
        <v>139</v>
      </c>
      <c r="L433" s="15">
        <v>-594.4288081647685</v>
      </c>
      <c r="M433" s="15">
        <v>0</v>
      </c>
      <c r="N433" s="15">
        <v>-594.4288081647685</v>
      </c>
      <c r="O433" s="15">
        <v>0</v>
      </c>
      <c r="P433" s="15">
        <v>0</v>
      </c>
      <c r="Q433" s="15">
        <f t="shared" si="28"/>
        <v>0</v>
      </c>
      <c r="R433" s="36">
        <v>0</v>
      </c>
      <c r="S433" s="15">
        <f t="shared" si="29"/>
        <v>0</v>
      </c>
      <c r="T433" s="16"/>
      <c r="U433" s="16"/>
    </row>
    <row r="434" spans="1:21" x14ac:dyDescent="0.25">
      <c r="A434" s="16" t="s">
        <v>37</v>
      </c>
      <c r="B434" s="16" t="s">
        <v>269</v>
      </c>
      <c r="C434" s="16" t="s">
        <v>270</v>
      </c>
      <c r="D434" s="16" t="s">
        <v>180</v>
      </c>
      <c r="E434" s="16" t="s">
        <v>181</v>
      </c>
      <c r="F434" s="16" t="s">
        <v>182</v>
      </c>
      <c r="G434" s="16" t="s">
        <v>183</v>
      </c>
      <c r="H434" s="16" t="s">
        <v>85</v>
      </c>
      <c r="I434" s="16" t="s">
        <v>40</v>
      </c>
      <c r="J434" s="16" t="s">
        <v>38</v>
      </c>
      <c r="K434" s="16" t="s">
        <v>293</v>
      </c>
      <c r="L434" s="15">
        <v>-409104.99226732529</v>
      </c>
      <c r="M434" s="15">
        <v>-5218.3515818474552</v>
      </c>
      <c r="N434" s="15">
        <v>-478403.36237605516</v>
      </c>
      <c r="O434" s="15">
        <v>69298.370108729927</v>
      </c>
      <c r="P434" s="15">
        <f>O434</f>
        <v>69298.370108729927</v>
      </c>
      <c r="Q434" s="15">
        <f>P434-R434-69298</f>
        <v>0.37010872992686927</v>
      </c>
      <c r="R434" s="36">
        <v>0</v>
      </c>
      <c r="S434" s="15">
        <f t="shared" si="29"/>
        <v>0.37010872992686927</v>
      </c>
      <c r="T434" s="16"/>
      <c r="U434" s="16"/>
    </row>
    <row r="435" spans="1:21" x14ac:dyDescent="0.25">
      <c r="A435" s="16" t="s">
        <v>37</v>
      </c>
      <c r="B435" s="16" t="s">
        <v>265</v>
      </c>
      <c r="C435" s="16" t="s">
        <v>266</v>
      </c>
      <c r="D435" s="16" t="s">
        <v>180</v>
      </c>
      <c r="E435" s="16" t="s">
        <v>181</v>
      </c>
      <c r="F435" s="16" t="s">
        <v>182</v>
      </c>
      <c r="G435" s="16" t="s">
        <v>183</v>
      </c>
      <c r="H435" s="16" t="s">
        <v>85</v>
      </c>
      <c r="I435" s="16" t="s">
        <v>40</v>
      </c>
      <c r="J435" s="16" t="s">
        <v>38</v>
      </c>
      <c r="K435" s="16" t="s">
        <v>293</v>
      </c>
      <c r="L435" s="15">
        <v>-2964676.2584849261</v>
      </c>
      <c r="M435" s="15">
        <v>-279774.115797284</v>
      </c>
      <c r="N435" s="15">
        <v>-2549806.2654938046</v>
      </c>
      <c r="O435" s="15">
        <v>-414869.99299112149</v>
      </c>
      <c r="P435" s="15">
        <v>-414869.99299112149</v>
      </c>
      <c r="Q435" s="15">
        <f t="shared" si="28"/>
        <v>-414869.99299112149</v>
      </c>
      <c r="R435" s="36">
        <v>0</v>
      </c>
      <c r="S435" s="15">
        <f t="shared" si="29"/>
        <v>-414869.99299112149</v>
      </c>
      <c r="T435" s="16"/>
      <c r="U435" s="16"/>
    </row>
    <row r="436" spans="1:21" x14ac:dyDescent="0.25">
      <c r="A436" s="16" t="s">
        <v>37</v>
      </c>
      <c r="B436" s="16" t="s">
        <v>257</v>
      </c>
      <c r="C436" s="16" t="s">
        <v>258</v>
      </c>
      <c r="D436" s="16" t="s">
        <v>180</v>
      </c>
      <c r="E436" s="16" t="s">
        <v>181</v>
      </c>
      <c r="F436" s="16" t="s">
        <v>182</v>
      </c>
      <c r="G436" s="16" t="s">
        <v>183</v>
      </c>
      <c r="H436" s="16" t="s">
        <v>85</v>
      </c>
      <c r="I436" s="16" t="s">
        <v>40</v>
      </c>
      <c r="J436" s="16" t="s">
        <v>38</v>
      </c>
      <c r="K436" s="16" t="s">
        <v>293</v>
      </c>
      <c r="L436" s="15">
        <v>-1612131.6021793485</v>
      </c>
      <c r="M436" s="15">
        <v>-502553.96040019568</v>
      </c>
      <c r="N436" s="15">
        <v>-1108164.77018416</v>
      </c>
      <c r="O436" s="15">
        <v>-503966.8319951882</v>
      </c>
      <c r="P436" s="15">
        <v>-503966.8319951882</v>
      </c>
      <c r="Q436" s="15">
        <f>P436-R436+P434</f>
        <v>-434668.46188645827</v>
      </c>
      <c r="R436" s="36">
        <v>0</v>
      </c>
      <c r="S436" s="15">
        <f t="shared" si="29"/>
        <v>-434668.46188645827</v>
      </c>
      <c r="T436" s="16"/>
      <c r="U436" s="26"/>
    </row>
    <row r="437" spans="1:21" x14ac:dyDescent="0.25">
      <c r="A437" s="16" t="s">
        <v>37</v>
      </c>
      <c r="B437" s="16" t="s">
        <v>257</v>
      </c>
      <c r="C437" s="16" t="s">
        <v>258</v>
      </c>
      <c r="D437" s="16" t="s">
        <v>180</v>
      </c>
      <c r="E437" s="16" t="s">
        <v>181</v>
      </c>
      <c r="F437" s="16" t="s">
        <v>182</v>
      </c>
      <c r="G437" s="16" t="s">
        <v>183</v>
      </c>
      <c r="H437" s="16" t="s">
        <v>85</v>
      </c>
      <c r="I437" s="16" t="s">
        <v>40</v>
      </c>
      <c r="J437" s="16" t="s">
        <v>142</v>
      </c>
      <c r="K437" s="16" t="s">
        <v>143</v>
      </c>
      <c r="L437" s="15">
        <v>-7361.34</v>
      </c>
      <c r="M437" s="15">
        <v>0</v>
      </c>
      <c r="N437" s="15">
        <v>0</v>
      </c>
      <c r="O437" s="15">
        <v>-7361.34</v>
      </c>
      <c r="P437" s="15">
        <v>-7361.34</v>
      </c>
      <c r="Q437" s="15">
        <f t="shared" si="28"/>
        <v>-7361.34</v>
      </c>
      <c r="R437" s="36">
        <v>0</v>
      </c>
      <c r="S437" s="15">
        <f t="shared" si="29"/>
        <v>-7361.34</v>
      </c>
      <c r="T437" s="16"/>
      <c r="U437" s="26"/>
    </row>
    <row r="438" spans="1:21" x14ac:dyDescent="0.25">
      <c r="A438" s="16" t="s">
        <v>37</v>
      </c>
      <c r="B438" s="16" t="s">
        <v>257</v>
      </c>
      <c r="C438" s="16" t="s">
        <v>258</v>
      </c>
      <c r="D438" s="16" t="s">
        <v>180</v>
      </c>
      <c r="E438" s="16" t="s">
        <v>181</v>
      </c>
      <c r="F438" s="16" t="s">
        <v>182</v>
      </c>
      <c r="G438" s="16" t="s">
        <v>183</v>
      </c>
      <c r="H438" s="16" t="s">
        <v>85</v>
      </c>
      <c r="I438" s="16" t="s">
        <v>40</v>
      </c>
      <c r="J438" s="16" t="s">
        <v>296</v>
      </c>
      <c r="K438" s="16" t="s">
        <v>297</v>
      </c>
      <c r="L438" s="15">
        <v>-66756.619997514601</v>
      </c>
      <c r="M438" s="15">
        <v>-379.29421589999993</v>
      </c>
      <c r="N438" s="15">
        <v>-66756.378471999982</v>
      </c>
      <c r="O438" s="15">
        <v>-0.2415255146115669</v>
      </c>
      <c r="P438" s="15">
        <v>-0.2415255146115669</v>
      </c>
      <c r="Q438" s="15">
        <f t="shared" si="28"/>
        <v>-0.2415255146115669</v>
      </c>
      <c r="R438" s="36">
        <v>0</v>
      </c>
      <c r="S438" s="15">
        <f t="shared" si="29"/>
        <v>-0.2415255146115669</v>
      </c>
      <c r="T438" s="16"/>
      <c r="U438" s="26"/>
    </row>
    <row r="439" spans="1:21" x14ac:dyDescent="0.25">
      <c r="A439" s="16" t="s">
        <v>37</v>
      </c>
      <c r="B439" s="16" t="s">
        <v>269</v>
      </c>
      <c r="C439" s="16" t="s">
        <v>270</v>
      </c>
      <c r="D439" s="16" t="s">
        <v>180</v>
      </c>
      <c r="E439" s="16" t="s">
        <v>181</v>
      </c>
      <c r="F439" s="16" t="s">
        <v>182</v>
      </c>
      <c r="G439" s="16" t="s">
        <v>183</v>
      </c>
      <c r="H439" s="16" t="s">
        <v>85</v>
      </c>
      <c r="I439" s="16" t="s">
        <v>40</v>
      </c>
      <c r="J439" s="16" t="s">
        <v>124</v>
      </c>
      <c r="K439" s="16" t="s">
        <v>125</v>
      </c>
      <c r="L439" s="15">
        <v>-1097.5590422558548</v>
      </c>
      <c r="M439" s="15">
        <v>0</v>
      </c>
      <c r="N439" s="15">
        <v>-777.61999999999932</v>
      </c>
      <c r="O439" s="15">
        <v>-319.93904225585516</v>
      </c>
      <c r="P439" s="15">
        <v>0</v>
      </c>
      <c r="Q439" s="15">
        <f t="shared" si="28"/>
        <v>0</v>
      </c>
      <c r="R439" s="36">
        <v>0</v>
      </c>
      <c r="S439" s="15">
        <f t="shared" si="29"/>
        <v>0</v>
      </c>
      <c r="T439" s="16"/>
      <c r="U439" s="16"/>
    </row>
    <row r="440" spans="1:21" x14ac:dyDescent="0.25">
      <c r="A440" s="16" t="s">
        <v>37</v>
      </c>
      <c r="B440" s="16" t="s">
        <v>265</v>
      </c>
      <c r="C440" s="16" t="s">
        <v>266</v>
      </c>
      <c r="D440" s="16" t="s">
        <v>180</v>
      </c>
      <c r="E440" s="16" t="s">
        <v>181</v>
      </c>
      <c r="F440" s="16" t="s">
        <v>182</v>
      </c>
      <c r="G440" s="16" t="s">
        <v>183</v>
      </c>
      <c r="H440" s="16" t="s">
        <v>85</v>
      </c>
      <c r="I440" s="16" t="s">
        <v>40</v>
      </c>
      <c r="J440" s="16" t="s">
        <v>124</v>
      </c>
      <c r="K440" s="16" t="s">
        <v>125</v>
      </c>
      <c r="L440" s="15">
        <v>-486286.47505055345</v>
      </c>
      <c r="M440" s="15">
        <v>0</v>
      </c>
      <c r="N440" s="15">
        <v>-420268.06213904358</v>
      </c>
      <c r="O440" s="15">
        <v>-66018.412911509848</v>
      </c>
      <c r="P440" s="15">
        <v>0</v>
      </c>
      <c r="Q440" s="15">
        <f t="shared" si="28"/>
        <v>0</v>
      </c>
      <c r="R440" s="36">
        <v>0</v>
      </c>
      <c r="S440" s="15">
        <f t="shared" si="29"/>
        <v>0</v>
      </c>
      <c r="T440" s="16"/>
      <c r="U440" s="16"/>
    </row>
    <row r="441" spans="1:21" x14ac:dyDescent="0.25">
      <c r="A441" s="16" t="s">
        <v>37</v>
      </c>
      <c r="B441" s="16" t="s">
        <v>257</v>
      </c>
      <c r="C441" s="16" t="s">
        <v>258</v>
      </c>
      <c r="D441" s="16" t="s">
        <v>180</v>
      </c>
      <c r="E441" s="16" t="s">
        <v>181</v>
      </c>
      <c r="F441" s="16" t="s">
        <v>182</v>
      </c>
      <c r="G441" s="16" t="s">
        <v>183</v>
      </c>
      <c r="H441" s="16" t="s">
        <v>85</v>
      </c>
      <c r="I441" s="16" t="s">
        <v>40</v>
      </c>
      <c r="J441" s="16" t="s">
        <v>124</v>
      </c>
      <c r="K441" s="16" t="s">
        <v>125</v>
      </c>
      <c r="L441" s="15">
        <v>-92.558799999999991</v>
      </c>
      <c r="M441" s="15">
        <v>0</v>
      </c>
      <c r="N441" s="15">
        <v>-33.955311999999999</v>
      </c>
      <c r="O441" s="15">
        <v>-58.603487999999977</v>
      </c>
      <c r="P441" s="15">
        <v>0</v>
      </c>
      <c r="Q441" s="15">
        <f t="shared" si="28"/>
        <v>0</v>
      </c>
      <c r="R441" s="36">
        <v>0</v>
      </c>
      <c r="S441" s="15">
        <f t="shared" si="29"/>
        <v>0</v>
      </c>
      <c r="T441" s="16"/>
      <c r="U441" s="26"/>
    </row>
    <row r="442" spans="1:21" x14ac:dyDescent="0.25">
      <c r="A442" s="16" t="s">
        <v>37</v>
      </c>
      <c r="B442" s="16" t="s">
        <v>257</v>
      </c>
      <c r="C442" s="16" t="s">
        <v>258</v>
      </c>
      <c r="D442" s="16" t="s">
        <v>180</v>
      </c>
      <c r="E442" s="16" t="s">
        <v>181</v>
      </c>
      <c r="F442" s="16" t="s">
        <v>182</v>
      </c>
      <c r="G442" s="16" t="s">
        <v>183</v>
      </c>
      <c r="H442" s="16" t="s">
        <v>85</v>
      </c>
      <c r="I442" s="16" t="s">
        <v>40</v>
      </c>
      <c r="J442" s="16" t="s">
        <v>298</v>
      </c>
      <c r="K442" s="16" t="s">
        <v>299</v>
      </c>
      <c r="L442" s="15">
        <v>-3268.2688810000013</v>
      </c>
      <c r="M442" s="15">
        <v>-261.28298100000012</v>
      </c>
      <c r="N442" s="15">
        <v>-2080.0486818017998</v>
      </c>
      <c r="O442" s="15">
        <v>-1188.220199198201</v>
      </c>
      <c r="P442" s="15">
        <v>-1188.220199198201</v>
      </c>
      <c r="Q442" s="15">
        <f t="shared" si="28"/>
        <v>-1188.220199198201</v>
      </c>
      <c r="R442" s="36">
        <v>0</v>
      </c>
      <c r="S442" s="15">
        <f t="shared" si="29"/>
        <v>-1188.220199198201</v>
      </c>
      <c r="T442" s="16"/>
      <c r="U442" s="26"/>
    </row>
    <row r="443" spans="1:21" x14ac:dyDescent="0.25">
      <c r="A443" s="16" t="s">
        <v>37</v>
      </c>
      <c r="B443" s="16" t="s">
        <v>269</v>
      </c>
      <c r="C443" s="16" t="s">
        <v>270</v>
      </c>
      <c r="D443" s="16" t="s">
        <v>180</v>
      </c>
      <c r="E443" s="16" t="s">
        <v>181</v>
      </c>
      <c r="F443" s="16" t="s">
        <v>182</v>
      </c>
      <c r="G443" s="16" t="s">
        <v>183</v>
      </c>
      <c r="H443" s="16" t="s">
        <v>85</v>
      </c>
      <c r="I443" s="16" t="s">
        <v>40</v>
      </c>
      <c r="J443" s="16" t="s">
        <v>132</v>
      </c>
      <c r="K443" s="16" t="s">
        <v>133</v>
      </c>
      <c r="L443" s="15">
        <v>-36835.881062103232</v>
      </c>
      <c r="M443" s="15">
        <v>-36835.881062103232</v>
      </c>
      <c r="N443" s="15">
        <v>-36835.909993282097</v>
      </c>
      <c r="O443" s="15">
        <v>2.8931178869243013E-2</v>
      </c>
      <c r="P443" s="15">
        <v>0</v>
      </c>
      <c r="Q443" s="15">
        <f t="shared" si="28"/>
        <v>0</v>
      </c>
      <c r="R443" s="36">
        <v>0</v>
      </c>
      <c r="S443" s="15">
        <f t="shared" si="29"/>
        <v>0</v>
      </c>
      <c r="T443" s="16"/>
      <c r="U443" s="16"/>
    </row>
    <row r="444" spans="1:21" x14ac:dyDescent="0.25">
      <c r="A444" s="16" t="s">
        <v>37</v>
      </c>
      <c r="B444" s="16" t="s">
        <v>269</v>
      </c>
      <c r="C444" s="16" t="s">
        <v>270</v>
      </c>
      <c r="D444" s="16" t="s">
        <v>180</v>
      </c>
      <c r="E444" s="16" t="s">
        <v>181</v>
      </c>
      <c r="F444" s="16" t="s">
        <v>182</v>
      </c>
      <c r="G444" s="16" t="s">
        <v>183</v>
      </c>
      <c r="H444" s="16" t="s">
        <v>85</v>
      </c>
      <c r="I444" s="16" t="s">
        <v>40</v>
      </c>
      <c r="J444" s="16" t="s">
        <v>64</v>
      </c>
      <c r="K444" s="16" t="s">
        <v>65</v>
      </c>
      <c r="L444" s="15">
        <v>-41659.999780171369</v>
      </c>
      <c r="M444" s="15">
        <v>0</v>
      </c>
      <c r="N444" s="15">
        <v>-36578.659942037499</v>
      </c>
      <c r="O444" s="15">
        <v>-5081.3398381338739</v>
      </c>
      <c r="P444" s="15">
        <v>-5081.3398381338739</v>
      </c>
      <c r="Q444" s="15">
        <f t="shared" si="28"/>
        <v>-5081.3398381338739</v>
      </c>
      <c r="R444" s="36">
        <v>0</v>
      </c>
      <c r="S444" s="15">
        <f t="shared" si="29"/>
        <v>-5081.3398381338739</v>
      </c>
      <c r="T444" s="16"/>
      <c r="U444" s="16"/>
    </row>
    <row r="445" spans="1:21" x14ac:dyDescent="0.25">
      <c r="A445" s="16" t="s">
        <v>37</v>
      </c>
      <c r="B445" s="16" t="s">
        <v>269</v>
      </c>
      <c r="C445" s="16" t="s">
        <v>270</v>
      </c>
      <c r="D445" s="16" t="s">
        <v>180</v>
      </c>
      <c r="E445" s="16" t="s">
        <v>181</v>
      </c>
      <c r="F445" s="16" t="s">
        <v>182</v>
      </c>
      <c r="G445" s="16" t="s">
        <v>183</v>
      </c>
      <c r="H445" s="16" t="s">
        <v>85</v>
      </c>
      <c r="I445" s="16" t="s">
        <v>40</v>
      </c>
      <c r="J445" s="16" t="s">
        <v>66</v>
      </c>
      <c r="K445" s="16" t="s">
        <v>63</v>
      </c>
      <c r="L445" s="15">
        <v>-18473.652144104763</v>
      </c>
      <c r="M445" s="15">
        <v>-18473.652144104763</v>
      </c>
      <c r="N445" s="15">
        <v>-18473.629984336028</v>
      </c>
      <c r="O445" s="15">
        <v>-2.2159768735491525E-2</v>
      </c>
      <c r="P445" s="15">
        <v>0</v>
      </c>
      <c r="Q445" s="15">
        <f t="shared" si="28"/>
        <v>0</v>
      </c>
      <c r="R445" s="36">
        <v>0</v>
      </c>
      <c r="S445" s="15">
        <f t="shared" si="29"/>
        <v>0</v>
      </c>
      <c r="T445" s="16"/>
      <c r="U445" s="16"/>
    </row>
    <row r="446" spans="1:21" x14ac:dyDescent="0.25">
      <c r="A446" s="16" t="s">
        <v>37</v>
      </c>
      <c r="B446" s="16" t="s">
        <v>257</v>
      </c>
      <c r="C446" s="16" t="s">
        <v>258</v>
      </c>
      <c r="D446" s="16" t="s">
        <v>180</v>
      </c>
      <c r="E446" s="16" t="s">
        <v>181</v>
      </c>
      <c r="F446" s="16" t="s">
        <v>182</v>
      </c>
      <c r="G446" s="16" t="s">
        <v>183</v>
      </c>
      <c r="H446" s="16" t="s">
        <v>85</v>
      </c>
      <c r="I446" s="16" t="s">
        <v>40</v>
      </c>
      <c r="J446" s="16" t="s">
        <v>67</v>
      </c>
      <c r="K446" s="16" t="s">
        <v>68</v>
      </c>
      <c r="L446" s="15">
        <v>-2980</v>
      </c>
      <c r="M446" s="15">
        <v>0</v>
      </c>
      <c r="N446" s="15">
        <v>0</v>
      </c>
      <c r="O446" s="15">
        <v>-2980</v>
      </c>
      <c r="P446" s="15">
        <v>-2980</v>
      </c>
      <c r="Q446" s="15">
        <f t="shared" si="28"/>
        <v>-2980</v>
      </c>
      <c r="R446" s="36">
        <v>0</v>
      </c>
      <c r="S446" s="15">
        <f t="shared" si="29"/>
        <v>-2980</v>
      </c>
      <c r="T446" s="16"/>
      <c r="U446" s="26"/>
    </row>
    <row r="447" spans="1:21" x14ac:dyDescent="0.25">
      <c r="A447" s="16" t="s">
        <v>37</v>
      </c>
      <c r="B447" s="16" t="s">
        <v>269</v>
      </c>
      <c r="C447" s="16" t="s">
        <v>270</v>
      </c>
      <c r="D447" s="16" t="s">
        <v>184</v>
      </c>
      <c r="E447" s="16" t="s">
        <v>185</v>
      </c>
      <c r="F447" s="16" t="s">
        <v>186</v>
      </c>
      <c r="G447" s="16" t="s">
        <v>187</v>
      </c>
      <c r="H447" s="16" t="s">
        <v>85</v>
      </c>
      <c r="I447" s="16" t="s">
        <v>40</v>
      </c>
      <c r="J447" s="16" t="s">
        <v>38</v>
      </c>
      <c r="K447" s="16" t="s">
        <v>293</v>
      </c>
      <c r="L447" s="15">
        <v>-137631.64946781055</v>
      </c>
      <c r="M447" s="15">
        <v>0</v>
      </c>
      <c r="N447" s="15">
        <v>-107957.45102098834</v>
      </c>
      <c r="O447" s="15">
        <v>-29674.198446822236</v>
      </c>
      <c r="P447" s="15">
        <v>-29674.198446822236</v>
      </c>
      <c r="Q447" s="15">
        <f>P447-R447+P471+P474+37821+0.2</f>
        <v>1.5531777637079469E-3</v>
      </c>
      <c r="R447" s="36">
        <v>0</v>
      </c>
      <c r="S447" s="15">
        <f t="shared" si="29"/>
        <v>1.5531777637079469E-3</v>
      </c>
      <c r="T447" s="16"/>
      <c r="U447" s="16"/>
    </row>
    <row r="448" spans="1:21" x14ac:dyDescent="0.25">
      <c r="A448" s="16" t="s">
        <v>37</v>
      </c>
      <c r="B448" s="16" t="s">
        <v>257</v>
      </c>
      <c r="C448" s="16" t="s">
        <v>258</v>
      </c>
      <c r="D448" s="16" t="s">
        <v>184</v>
      </c>
      <c r="E448" s="16" t="s">
        <v>185</v>
      </c>
      <c r="F448" s="16" t="s">
        <v>186</v>
      </c>
      <c r="G448" s="16" t="s">
        <v>187</v>
      </c>
      <c r="H448" s="16" t="s">
        <v>85</v>
      </c>
      <c r="I448" s="16" t="s">
        <v>40</v>
      </c>
      <c r="J448" s="16" t="s">
        <v>38</v>
      </c>
      <c r="K448" s="16" t="s">
        <v>293</v>
      </c>
      <c r="L448" s="15">
        <v>-1011587.4288536148</v>
      </c>
      <c r="M448" s="15">
        <v>-47041</v>
      </c>
      <c r="N448" s="15">
        <v>-1008375.1483766625</v>
      </c>
      <c r="O448" s="15">
        <v>-3212.2804769522045</v>
      </c>
      <c r="P448" s="15">
        <v>-3212.2804769522045</v>
      </c>
      <c r="Q448" s="15">
        <f>P448-R448+P472-37821+238011.21-3469.75-0.2</f>
        <v>-36356.235129407563</v>
      </c>
      <c r="R448" s="36">
        <v>0</v>
      </c>
      <c r="S448" s="15">
        <f t="shared" si="29"/>
        <v>-36356.235129407563</v>
      </c>
      <c r="T448" s="16"/>
      <c r="U448" s="26"/>
    </row>
    <row r="449" spans="1:21" x14ac:dyDescent="0.25">
      <c r="A449" s="16" t="s">
        <v>37</v>
      </c>
      <c r="B449" s="16" t="s">
        <v>257</v>
      </c>
      <c r="C449" s="16" t="s">
        <v>258</v>
      </c>
      <c r="D449" s="16" t="s">
        <v>184</v>
      </c>
      <c r="E449" s="16" t="s">
        <v>185</v>
      </c>
      <c r="F449" s="16" t="s">
        <v>186</v>
      </c>
      <c r="G449" s="16" t="s">
        <v>187</v>
      </c>
      <c r="H449" s="16" t="s">
        <v>85</v>
      </c>
      <c r="I449" s="16" t="s">
        <v>40</v>
      </c>
      <c r="J449" s="16" t="s">
        <v>298</v>
      </c>
      <c r="K449" s="16" t="s">
        <v>299</v>
      </c>
      <c r="L449" s="15">
        <v>-5708.9554064516124</v>
      </c>
      <c r="M449" s="15">
        <v>0</v>
      </c>
      <c r="N449" s="15">
        <v>-2239.2071376624008</v>
      </c>
      <c r="O449" s="15">
        <v>-3469.7482687892134</v>
      </c>
      <c r="P449" s="15">
        <v>-3469.7482687892134</v>
      </c>
      <c r="Q449" s="15">
        <f>P449-R449+3469.75</f>
        <v>1.7312107866018778E-3</v>
      </c>
      <c r="R449" s="36">
        <v>0</v>
      </c>
      <c r="S449" s="15">
        <f t="shared" si="29"/>
        <v>1.7312107866018778E-3</v>
      </c>
      <c r="T449" s="16"/>
      <c r="U449" s="26"/>
    </row>
    <row r="450" spans="1:21" x14ac:dyDescent="0.25">
      <c r="A450" s="16" t="s">
        <v>37</v>
      </c>
      <c r="B450" s="16" t="s">
        <v>269</v>
      </c>
      <c r="C450" s="16" t="s">
        <v>270</v>
      </c>
      <c r="D450" s="16" t="s">
        <v>184</v>
      </c>
      <c r="E450" s="16" t="s">
        <v>185</v>
      </c>
      <c r="F450" s="16" t="s">
        <v>186</v>
      </c>
      <c r="G450" s="16" t="s">
        <v>187</v>
      </c>
      <c r="H450" s="16" t="s">
        <v>85</v>
      </c>
      <c r="I450" s="16" t="s">
        <v>40</v>
      </c>
      <c r="J450" s="16" t="s">
        <v>62</v>
      </c>
      <c r="K450" s="16" t="s">
        <v>63</v>
      </c>
      <c r="L450" s="15">
        <v>-6723.99</v>
      </c>
      <c r="M450" s="15">
        <v>-6723.99</v>
      </c>
      <c r="N450" s="15">
        <v>-6723.9899909000005</v>
      </c>
      <c r="O450" s="15">
        <v>-9.099999260797631E-6</v>
      </c>
      <c r="P450" s="15">
        <v>0</v>
      </c>
      <c r="Q450" s="15">
        <f t="shared" si="28"/>
        <v>0</v>
      </c>
      <c r="R450" s="36">
        <v>0</v>
      </c>
      <c r="S450" s="15">
        <f t="shared" si="29"/>
        <v>0</v>
      </c>
      <c r="T450" s="16"/>
      <c r="U450" s="16"/>
    </row>
    <row r="451" spans="1:21" x14ac:dyDescent="0.25">
      <c r="A451" s="16" t="s">
        <v>37</v>
      </c>
      <c r="B451" s="16" t="s">
        <v>269</v>
      </c>
      <c r="C451" s="16" t="s">
        <v>270</v>
      </c>
      <c r="D451" s="16" t="s">
        <v>184</v>
      </c>
      <c r="E451" s="16" t="s">
        <v>185</v>
      </c>
      <c r="F451" s="16" t="s">
        <v>188</v>
      </c>
      <c r="G451" s="16" t="s">
        <v>189</v>
      </c>
      <c r="H451" s="16" t="s">
        <v>85</v>
      </c>
      <c r="I451" s="16" t="s">
        <v>40</v>
      </c>
      <c r="J451" s="16" t="s">
        <v>38</v>
      </c>
      <c r="K451" s="16" t="s">
        <v>293</v>
      </c>
      <c r="L451" s="15">
        <v>-90794.552764638051</v>
      </c>
      <c r="M451" s="15">
        <v>0</v>
      </c>
      <c r="N451" s="15">
        <v>-16325.78604864061</v>
      </c>
      <c r="O451" s="15">
        <v>-74468.766715997452</v>
      </c>
      <c r="P451" s="15">
        <v>-74468.766715997452</v>
      </c>
      <c r="Q451" s="15">
        <f>P451-R451+74469-0.2</f>
        <v>3.3284002548316483E-2</v>
      </c>
      <c r="R451" s="36">
        <v>0</v>
      </c>
      <c r="S451" s="15">
        <f t="shared" si="29"/>
        <v>3.3284002548316483E-2</v>
      </c>
      <c r="T451" s="16"/>
      <c r="U451" s="16"/>
    </row>
    <row r="452" spans="1:21" x14ac:dyDescent="0.25">
      <c r="A452" s="16" t="s">
        <v>37</v>
      </c>
      <c r="B452" s="16" t="s">
        <v>257</v>
      </c>
      <c r="C452" s="16" t="s">
        <v>258</v>
      </c>
      <c r="D452" s="16" t="s">
        <v>184</v>
      </c>
      <c r="E452" s="16" t="s">
        <v>185</v>
      </c>
      <c r="F452" s="16" t="s">
        <v>188</v>
      </c>
      <c r="G452" s="16" t="s">
        <v>189</v>
      </c>
      <c r="H452" s="16" t="s">
        <v>85</v>
      </c>
      <c r="I452" s="16" t="s">
        <v>40</v>
      </c>
      <c r="J452" s="16" t="s">
        <v>38</v>
      </c>
      <c r="K452" s="16" t="s">
        <v>293</v>
      </c>
      <c r="L452" s="15">
        <v>-689042.13293812866</v>
      </c>
      <c r="M452" s="15">
        <v>-142364.8799</v>
      </c>
      <c r="N452" s="15">
        <v>-213139.22097096517</v>
      </c>
      <c r="O452" s="15">
        <v>-475902.91196716361</v>
      </c>
      <c r="P452" s="15">
        <v>-475902.91196716361</v>
      </c>
      <c r="Q452" s="15">
        <f>P452-R452+P451-238011.21+3469.75+0.2-0.23</f>
        <v>-784913.16868316103</v>
      </c>
      <c r="R452" s="36">
        <v>0</v>
      </c>
      <c r="S452" s="15">
        <f t="shared" si="29"/>
        <v>-784913.16868316103</v>
      </c>
      <c r="T452" s="16"/>
      <c r="U452" s="26"/>
    </row>
    <row r="453" spans="1:21" x14ac:dyDescent="0.25">
      <c r="A453" s="16" t="s">
        <v>37</v>
      </c>
      <c r="B453" s="16" t="s">
        <v>257</v>
      </c>
      <c r="C453" s="16" t="s">
        <v>258</v>
      </c>
      <c r="D453" s="16" t="s">
        <v>184</v>
      </c>
      <c r="E453" s="16" t="s">
        <v>185</v>
      </c>
      <c r="F453" s="16" t="s">
        <v>188</v>
      </c>
      <c r="G453" s="16" t="s">
        <v>189</v>
      </c>
      <c r="H453" s="16" t="s">
        <v>85</v>
      </c>
      <c r="I453" s="16" t="s">
        <v>40</v>
      </c>
      <c r="J453" s="16" t="s">
        <v>298</v>
      </c>
      <c r="K453" s="16" t="s">
        <v>299</v>
      </c>
      <c r="L453" s="15">
        <v>-2272.6916129032261</v>
      </c>
      <c r="M453" s="15">
        <v>0</v>
      </c>
      <c r="N453" s="15">
        <v>-893.49612153039993</v>
      </c>
      <c r="O453" s="15">
        <v>-1379.1954913728255</v>
      </c>
      <c r="P453" s="15">
        <v>-1379.1954913728255</v>
      </c>
      <c r="Q453" s="15">
        <f>P453-R453-3469.75</f>
        <v>-4848.9454913728259</v>
      </c>
      <c r="R453" s="36">
        <v>0</v>
      </c>
      <c r="S453" s="15">
        <f t="shared" si="29"/>
        <v>-4848.9454913728259</v>
      </c>
      <c r="T453" s="16"/>
      <c r="U453" s="26"/>
    </row>
    <row r="454" spans="1:21" x14ac:dyDescent="0.25">
      <c r="A454" s="16" t="s">
        <v>37</v>
      </c>
      <c r="B454" s="16" t="s">
        <v>269</v>
      </c>
      <c r="C454" s="16" t="s">
        <v>270</v>
      </c>
      <c r="D454" s="16" t="s">
        <v>184</v>
      </c>
      <c r="E454" s="16" t="s">
        <v>185</v>
      </c>
      <c r="F454" s="16" t="s">
        <v>188</v>
      </c>
      <c r="G454" s="16" t="s">
        <v>189</v>
      </c>
      <c r="H454" s="16" t="s">
        <v>85</v>
      </c>
      <c r="I454" s="16" t="s">
        <v>40</v>
      </c>
      <c r="J454" s="16" t="s">
        <v>62</v>
      </c>
      <c r="K454" s="16" t="s">
        <v>63</v>
      </c>
      <c r="L454" s="15">
        <v>-7691.9489999999987</v>
      </c>
      <c r="M454" s="15">
        <v>-7691.9489999999987</v>
      </c>
      <c r="N454" s="15">
        <v>-7691.9499895899971</v>
      </c>
      <c r="O454" s="15">
        <v>9.8958999842579942E-4</v>
      </c>
      <c r="P454" s="15">
        <v>0</v>
      </c>
      <c r="Q454" s="15">
        <f t="shared" si="28"/>
        <v>0</v>
      </c>
      <c r="R454" s="36">
        <v>0</v>
      </c>
      <c r="S454" s="15">
        <f t="shared" si="29"/>
        <v>0</v>
      </c>
      <c r="T454" s="16"/>
      <c r="U454" s="16"/>
    </row>
    <row r="455" spans="1:21" x14ac:dyDescent="0.25">
      <c r="A455" s="16" t="s">
        <v>37</v>
      </c>
      <c r="B455" s="16" t="s">
        <v>269</v>
      </c>
      <c r="C455" s="16" t="s">
        <v>270</v>
      </c>
      <c r="D455" s="16" t="s">
        <v>184</v>
      </c>
      <c r="E455" s="16" t="s">
        <v>185</v>
      </c>
      <c r="F455" s="16" t="s">
        <v>190</v>
      </c>
      <c r="G455" s="16" t="s">
        <v>191</v>
      </c>
      <c r="H455" s="16" t="s">
        <v>85</v>
      </c>
      <c r="I455" s="16" t="s">
        <v>40</v>
      </c>
      <c r="J455" s="16" t="s">
        <v>38</v>
      </c>
      <c r="K455" s="16" t="s">
        <v>293</v>
      </c>
      <c r="L455" s="15">
        <v>-29893.487483152676</v>
      </c>
      <c r="M455" s="15">
        <v>0</v>
      </c>
      <c r="N455" s="15">
        <v>-10451.235420259469</v>
      </c>
      <c r="O455" s="15">
        <v>-19442.252062893211</v>
      </c>
      <c r="P455" s="15">
        <v>-19442.252062893211</v>
      </c>
      <c r="Q455" s="15">
        <f>P455-R455+19442</f>
        <v>-0.25206289321067743</v>
      </c>
      <c r="R455" s="36">
        <v>0</v>
      </c>
      <c r="S455" s="15">
        <f t="shared" si="29"/>
        <v>-0.25206289321067743</v>
      </c>
      <c r="T455" s="16"/>
      <c r="U455" s="16"/>
    </row>
    <row r="456" spans="1:21" x14ac:dyDescent="0.25">
      <c r="A456" s="16" t="s">
        <v>37</v>
      </c>
      <c r="B456" s="16" t="s">
        <v>257</v>
      </c>
      <c r="C456" s="16" t="s">
        <v>258</v>
      </c>
      <c r="D456" s="16" t="s">
        <v>184</v>
      </c>
      <c r="E456" s="16" t="s">
        <v>185</v>
      </c>
      <c r="F456" s="16" t="s">
        <v>190</v>
      </c>
      <c r="G456" s="16" t="s">
        <v>191</v>
      </c>
      <c r="H456" s="16" t="s">
        <v>85</v>
      </c>
      <c r="I456" s="16" t="s">
        <v>40</v>
      </c>
      <c r="J456" s="16" t="s">
        <v>38</v>
      </c>
      <c r="K456" s="16" t="s">
        <v>293</v>
      </c>
      <c r="L456" s="15">
        <v>-1632946.8463220997</v>
      </c>
      <c r="M456" s="15">
        <v>-674012</v>
      </c>
      <c r="N456" s="15">
        <v>-710143.52228180855</v>
      </c>
      <c r="O456" s="15">
        <v>-922803.3240402909</v>
      </c>
      <c r="P456" s="15">
        <v>-922803.3240402909</v>
      </c>
      <c r="Q456" s="15">
        <f>P456-R456+P455</f>
        <v>-942245.57610318414</v>
      </c>
      <c r="R456" s="36">
        <v>0</v>
      </c>
      <c r="S456" s="15">
        <f t="shared" si="29"/>
        <v>-942245.57610318414</v>
      </c>
      <c r="T456" s="16"/>
      <c r="U456" s="26"/>
    </row>
    <row r="457" spans="1:21" x14ac:dyDescent="0.25">
      <c r="A457" s="16" t="s">
        <v>37</v>
      </c>
      <c r="B457" s="16" t="s">
        <v>257</v>
      </c>
      <c r="C457" s="16" t="s">
        <v>258</v>
      </c>
      <c r="D457" s="16" t="s">
        <v>184</v>
      </c>
      <c r="E457" s="16" t="s">
        <v>185</v>
      </c>
      <c r="F457" s="16" t="s">
        <v>190</v>
      </c>
      <c r="G457" s="16" t="s">
        <v>191</v>
      </c>
      <c r="H457" s="16" t="s">
        <v>85</v>
      </c>
      <c r="I457" s="16" t="s">
        <v>40</v>
      </c>
      <c r="J457" s="16" t="s">
        <v>192</v>
      </c>
      <c r="K457" s="16" t="s">
        <v>193</v>
      </c>
      <c r="L457" s="15">
        <v>-1607237</v>
      </c>
      <c r="M457" s="15">
        <v>-1607237</v>
      </c>
      <c r="N457" s="15">
        <v>879670.23009999993</v>
      </c>
      <c r="O457" s="15">
        <v>-2486907.2300999998</v>
      </c>
      <c r="P457" s="15">
        <v>0</v>
      </c>
      <c r="Q457" s="15">
        <f t="shared" si="28"/>
        <v>0</v>
      </c>
      <c r="R457" s="36">
        <v>0</v>
      </c>
      <c r="S457" s="15">
        <f t="shared" si="29"/>
        <v>0</v>
      </c>
      <c r="T457" s="16"/>
      <c r="U457" s="26"/>
    </row>
    <row r="458" spans="1:21" x14ac:dyDescent="0.25">
      <c r="A458" s="16" t="s">
        <v>37</v>
      </c>
      <c r="B458" s="16" t="s">
        <v>257</v>
      </c>
      <c r="C458" s="16" t="s">
        <v>258</v>
      </c>
      <c r="D458" s="16" t="s">
        <v>184</v>
      </c>
      <c r="E458" s="16" t="s">
        <v>185</v>
      </c>
      <c r="F458" s="16" t="s">
        <v>190</v>
      </c>
      <c r="G458" s="16" t="s">
        <v>191</v>
      </c>
      <c r="H458" s="16" t="s">
        <v>85</v>
      </c>
      <c r="I458" s="16" t="s">
        <v>40</v>
      </c>
      <c r="J458" s="16" t="s">
        <v>194</v>
      </c>
      <c r="K458" s="16" t="s">
        <v>195</v>
      </c>
      <c r="L458" s="15">
        <v>-10549909</v>
      </c>
      <c r="M458" s="15">
        <v>-10191909</v>
      </c>
      <c r="N458" s="15">
        <v>-8691420.9600000009</v>
      </c>
      <c r="O458" s="15">
        <v>-1858488.040000001</v>
      </c>
      <c r="P458" s="15">
        <v>-358000</v>
      </c>
      <c r="Q458" s="15">
        <f t="shared" si="28"/>
        <v>-358000</v>
      </c>
      <c r="R458" s="36">
        <v>0</v>
      </c>
      <c r="S458" s="15">
        <f t="shared" si="29"/>
        <v>-358000</v>
      </c>
      <c r="T458" s="16"/>
      <c r="U458" s="26"/>
    </row>
    <row r="459" spans="1:21" x14ac:dyDescent="0.25">
      <c r="A459" s="16" t="s">
        <v>37</v>
      </c>
      <c r="B459" s="16" t="s">
        <v>257</v>
      </c>
      <c r="C459" s="16" t="s">
        <v>258</v>
      </c>
      <c r="D459" s="16" t="s">
        <v>184</v>
      </c>
      <c r="E459" s="16" t="s">
        <v>185</v>
      </c>
      <c r="F459" s="16" t="s">
        <v>190</v>
      </c>
      <c r="G459" s="16" t="s">
        <v>191</v>
      </c>
      <c r="H459" s="16" t="s">
        <v>85</v>
      </c>
      <c r="I459" s="16" t="s">
        <v>40</v>
      </c>
      <c r="J459" s="16" t="s">
        <v>196</v>
      </c>
      <c r="K459" s="16" t="s">
        <v>197</v>
      </c>
      <c r="L459" s="15">
        <v>-5000000</v>
      </c>
      <c r="M459" s="15">
        <v>0</v>
      </c>
      <c r="N459" s="15">
        <v>0</v>
      </c>
      <c r="O459" s="15">
        <v>-5000000</v>
      </c>
      <c r="P459" s="15">
        <v>-5000000</v>
      </c>
      <c r="Q459" s="15">
        <f t="shared" si="28"/>
        <v>-5000000</v>
      </c>
      <c r="R459" s="36">
        <v>0</v>
      </c>
      <c r="S459" s="15">
        <f t="shared" si="29"/>
        <v>-5000000</v>
      </c>
      <c r="T459" s="16"/>
      <c r="U459" s="26"/>
    </row>
    <row r="460" spans="1:21" x14ac:dyDescent="0.25">
      <c r="A460" s="16" t="s">
        <v>37</v>
      </c>
      <c r="B460" s="16" t="s">
        <v>257</v>
      </c>
      <c r="C460" s="16" t="s">
        <v>258</v>
      </c>
      <c r="D460" s="16" t="s">
        <v>184</v>
      </c>
      <c r="E460" s="16" t="s">
        <v>185</v>
      </c>
      <c r="F460" s="16" t="s">
        <v>190</v>
      </c>
      <c r="G460" s="16" t="s">
        <v>191</v>
      </c>
      <c r="H460" s="16" t="s">
        <v>85</v>
      </c>
      <c r="I460" s="16" t="s">
        <v>40</v>
      </c>
      <c r="J460" s="16" t="s">
        <v>198</v>
      </c>
      <c r="K460" s="16" t="s">
        <v>199</v>
      </c>
      <c r="L460" s="15">
        <v>-3290721</v>
      </c>
      <c r="M460" s="15">
        <v>-250721</v>
      </c>
      <c r="N460" s="15">
        <v>-1351800.8</v>
      </c>
      <c r="O460" s="15">
        <v>-1938920.2000000004</v>
      </c>
      <c r="P460" s="15">
        <v>-1938920.2000000004</v>
      </c>
      <c r="Q460" s="15">
        <f t="shared" si="28"/>
        <v>-1938920.2000000004</v>
      </c>
      <c r="R460" s="36">
        <v>0</v>
      </c>
      <c r="S460" s="15">
        <f t="shared" si="29"/>
        <v>-1938920.2000000004</v>
      </c>
      <c r="T460" s="16"/>
      <c r="U460" s="26"/>
    </row>
    <row r="461" spans="1:21" x14ac:dyDescent="0.25">
      <c r="A461" s="16" t="s">
        <v>37</v>
      </c>
      <c r="B461" s="16" t="s">
        <v>257</v>
      </c>
      <c r="C461" s="16" t="s">
        <v>258</v>
      </c>
      <c r="D461" s="16" t="s">
        <v>184</v>
      </c>
      <c r="E461" s="16" t="s">
        <v>185</v>
      </c>
      <c r="F461" s="16" t="s">
        <v>190</v>
      </c>
      <c r="G461" s="16" t="s">
        <v>191</v>
      </c>
      <c r="H461" s="16" t="s">
        <v>85</v>
      </c>
      <c r="I461" s="16" t="s">
        <v>40</v>
      </c>
      <c r="J461" s="16" t="s">
        <v>200</v>
      </c>
      <c r="K461" s="16" t="s">
        <v>201</v>
      </c>
      <c r="L461" s="15">
        <v>-14400</v>
      </c>
      <c r="M461" s="15">
        <v>-14400</v>
      </c>
      <c r="N461" s="15">
        <v>-14400</v>
      </c>
      <c r="O461" s="15">
        <v>0</v>
      </c>
      <c r="P461" s="15">
        <v>0</v>
      </c>
      <c r="Q461" s="15">
        <f t="shared" si="28"/>
        <v>0</v>
      </c>
      <c r="R461" s="36">
        <v>0</v>
      </c>
      <c r="S461" s="15">
        <f t="shared" si="29"/>
        <v>0</v>
      </c>
      <c r="T461" s="16"/>
      <c r="U461" s="26"/>
    </row>
    <row r="462" spans="1:21" x14ac:dyDescent="0.25">
      <c r="A462" s="16" t="s">
        <v>37</v>
      </c>
      <c r="B462" s="16" t="s">
        <v>257</v>
      </c>
      <c r="C462" s="16" t="s">
        <v>258</v>
      </c>
      <c r="D462" s="16" t="s">
        <v>184</v>
      </c>
      <c r="E462" s="16" t="s">
        <v>185</v>
      </c>
      <c r="F462" s="16" t="s">
        <v>190</v>
      </c>
      <c r="G462" s="16" t="s">
        <v>191</v>
      </c>
      <c r="H462" s="16" t="s">
        <v>85</v>
      </c>
      <c r="I462" s="16" t="s">
        <v>40</v>
      </c>
      <c r="J462" s="16" t="s">
        <v>298</v>
      </c>
      <c r="K462" s="16" t="s">
        <v>299</v>
      </c>
      <c r="L462" s="15">
        <v>-232910.76984380343</v>
      </c>
      <c r="M462" s="15">
        <v>-35186</v>
      </c>
      <c r="N462" s="15">
        <v>-22912.121005613822</v>
      </c>
      <c r="O462" s="15">
        <v>-209998.64883818963</v>
      </c>
      <c r="P462" s="15">
        <f>O462</f>
        <v>-209998.64883818963</v>
      </c>
      <c r="Q462" s="15">
        <f t="shared" si="28"/>
        <v>-209998.64883818963</v>
      </c>
      <c r="R462" s="36">
        <v>0</v>
      </c>
      <c r="S462" s="15">
        <f t="shared" si="29"/>
        <v>-209998.64883818963</v>
      </c>
      <c r="T462" s="16"/>
      <c r="U462" s="26"/>
    </row>
    <row r="463" spans="1:21" x14ac:dyDescent="0.25">
      <c r="A463" s="16" t="s">
        <v>37</v>
      </c>
      <c r="B463" s="16" t="s">
        <v>269</v>
      </c>
      <c r="C463" s="16" t="s">
        <v>270</v>
      </c>
      <c r="D463" s="16" t="s">
        <v>184</v>
      </c>
      <c r="E463" s="16" t="s">
        <v>185</v>
      </c>
      <c r="F463" s="16" t="s">
        <v>190</v>
      </c>
      <c r="G463" s="16" t="s">
        <v>191</v>
      </c>
      <c r="H463" s="16" t="s">
        <v>85</v>
      </c>
      <c r="I463" s="16" t="s">
        <v>40</v>
      </c>
      <c r="J463" s="16" t="s">
        <v>62</v>
      </c>
      <c r="K463" s="16" t="s">
        <v>63</v>
      </c>
      <c r="L463" s="15">
        <v>-8556.4620000000032</v>
      </c>
      <c r="M463" s="15">
        <v>-8556.4620000000032</v>
      </c>
      <c r="N463" s="15">
        <v>-8556.4599884199997</v>
      </c>
      <c r="O463" s="15">
        <v>-2.0115800020903407E-3</v>
      </c>
      <c r="P463" s="15">
        <v>0</v>
      </c>
      <c r="Q463" s="15">
        <f t="shared" ref="Q463:Q526" si="32">P463-R463</f>
        <v>0</v>
      </c>
      <c r="R463" s="36">
        <v>0</v>
      </c>
      <c r="S463" s="15">
        <f t="shared" ref="S463:S526" si="33">SUM(Q463:R463)</f>
        <v>0</v>
      </c>
      <c r="T463" s="16"/>
      <c r="U463" s="16"/>
    </row>
    <row r="464" spans="1:21" x14ac:dyDescent="0.25">
      <c r="A464" s="16" t="s">
        <v>37</v>
      </c>
      <c r="B464" s="16" t="s">
        <v>269</v>
      </c>
      <c r="C464" s="16" t="s">
        <v>270</v>
      </c>
      <c r="D464" s="16" t="s">
        <v>184</v>
      </c>
      <c r="E464" s="16" t="s">
        <v>202</v>
      </c>
      <c r="F464" s="16" t="s">
        <v>203</v>
      </c>
      <c r="G464" s="16" t="s">
        <v>204</v>
      </c>
      <c r="H464" s="16" t="s">
        <v>85</v>
      </c>
      <c r="I464" s="16" t="s">
        <v>40</v>
      </c>
      <c r="J464" s="16" t="s">
        <v>38</v>
      </c>
      <c r="K464" s="16" t="s">
        <v>293</v>
      </c>
      <c r="L464" s="15">
        <v>-102305.00000000001</v>
      </c>
      <c r="M464" s="15">
        <v>0</v>
      </c>
      <c r="N464" s="15">
        <v>0</v>
      </c>
      <c r="O464" s="15">
        <v>-102305.00000000001</v>
      </c>
      <c r="P464" s="15">
        <v>-102305.00000000001</v>
      </c>
      <c r="Q464" s="15">
        <v>0</v>
      </c>
      <c r="R464" s="36">
        <v>0</v>
      </c>
      <c r="S464" s="15">
        <f t="shared" si="33"/>
        <v>0</v>
      </c>
      <c r="T464" s="16"/>
      <c r="U464" s="16"/>
    </row>
    <row r="465" spans="1:21" x14ac:dyDescent="0.25">
      <c r="A465" s="16" t="s">
        <v>37</v>
      </c>
      <c r="B465" s="16" t="s">
        <v>257</v>
      </c>
      <c r="C465" s="16" t="s">
        <v>258</v>
      </c>
      <c r="D465" s="16" t="s">
        <v>184</v>
      </c>
      <c r="E465" s="16" t="s">
        <v>202</v>
      </c>
      <c r="F465" s="16" t="s">
        <v>203</v>
      </c>
      <c r="G465" s="16" t="s">
        <v>204</v>
      </c>
      <c r="H465" s="16" t="s">
        <v>85</v>
      </c>
      <c r="I465" s="16" t="s">
        <v>40</v>
      </c>
      <c r="J465" s="16" t="s">
        <v>38</v>
      </c>
      <c r="K465" s="16" t="s">
        <v>293</v>
      </c>
      <c r="L465" s="15">
        <v>-20406.2499980844</v>
      </c>
      <c r="M465" s="15">
        <v>0</v>
      </c>
      <c r="N465" s="15">
        <v>-20406.25</v>
      </c>
      <c r="O465" s="15">
        <v>1.915599568746984E-6</v>
      </c>
      <c r="P465" s="15">
        <v>0</v>
      </c>
      <c r="Q465" s="15">
        <f t="shared" si="32"/>
        <v>0</v>
      </c>
      <c r="R465" s="36">
        <v>0</v>
      </c>
      <c r="S465" s="15">
        <f t="shared" si="33"/>
        <v>0</v>
      </c>
      <c r="T465" s="16"/>
      <c r="U465" s="26"/>
    </row>
    <row r="466" spans="1:21" x14ac:dyDescent="0.25">
      <c r="A466" s="16" t="s">
        <v>37</v>
      </c>
      <c r="B466" s="16" t="s">
        <v>269</v>
      </c>
      <c r="C466" s="16" t="s">
        <v>270</v>
      </c>
      <c r="D466" s="16" t="s">
        <v>184</v>
      </c>
      <c r="E466" s="16" t="s">
        <v>202</v>
      </c>
      <c r="F466" s="16" t="s">
        <v>203</v>
      </c>
      <c r="G466" s="16" t="s">
        <v>204</v>
      </c>
      <c r="H466" s="16" t="s">
        <v>85</v>
      </c>
      <c r="I466" s="16" t="s">
        <v>40</v>
      </c>
      <c r="J466" s="16" t="s">
        <v>62</v>
      </c>
      <c r="K466" s="16" t="s">
        <v>63</v>
      </c>
      <c r="L466" s="15">
        <v>-2142.81</v>
      </c>
      <c r="M466" s="15">
        <v>-2142.81</v>
      </c>
      <c r="N466" s="15">
        <v>-2142.8099971000001</v>
      </c>
      <c r="O466" s="15">
        <v>-2.8999997994105797E-6</v>
      </c>
      <c r="P466" s="15">
        <v>0</v>
      </c>
      <c r="Q466" s="15">
        <f t="shared" si="32"/>
        <v>0</v>
      </c>
      <c r="R466" s="36">
        <v>0</v>
      </c>
      <c r="S466" s="15">
        <f t="shared" si="33"/>
        <v>0</v>
      </c>
      <c r="T466" s="16"/>
      <c r="U466" s="16"/>
    </row>
    <row r="467" spans="1:21" x14ac:dyDescent="0.25">
      <c r="A467" s="16" t="s">
        <v>37</v>
      </c>
      <c r="B467" s="16" t="s">
        <v>269</v>
      </c>
      <c r="C467" s="16" t="s">
        <v>270</v>
      </c>
      <c r="D467" s="16" t="s">
        <v>184</v>
      </c>
      <c r="E467" s="16" t="s">
        <v>202</v>
      </c>
      <c r="F467" s="16" t="s">
        <v>205</v>
      </c>
      <c r="G467" s="16" t="s">
        <v>206</v>
      </c>
      <c r="H467" s="16" t="s">
        <v>85</v>
      </c>
      <c r="I467" s="16" t="s">
        <v>40</v>
      </c>
      <c r="J467" s="16" t="s">
        <v>38</v>
      </c>
      <c r="K467" s="16" t="s">
        <v>293</v>
      </c>
      <c r="L467" s="15">
        <v>-10580.000000000002</v>
      </c>
      <c r="M467" s="15">
        <v>0</v>
      </c>
      <c r="N467" s="15">
        <v>0</v>
      </c>
      <c r="O467" s="15">
        <v>-10580.000000000002</v>
      </c>
      <c r="P467" s="15">
        <v>-10580.000000000002</v>
      </c>
      <c r="Q467" s="15">
        <v>0</v>
      </c>
      <c r="R467" s="36">
        <v>0</v>
      </c>
      <c r="S467" s="15">
        <f t="shared" si="33"/>
        <v>0</v>
      </c>
      <c r="T467" s="16"/>
      <c r="U467" s="16"/>
    </row>
    <row r="468" spans="1:21" x14ac:dyDescent="0.25">
      <c r="A468" s="16" t="s">
        <v>37</v>
      </c>
      <c r="B468" s="16" t="s">
        <v>257</v>
      </c>
      <c r="C468" s="16" t="s">
        <v>258</v>
      </c>
      <c r="D468" s="16" t="s">
        <v>184</v>
      </c>
      <c r="E468" s="16" t="s">
        <v>202</v>
      </c>
      <c r="F468" s="16" t="s">
        <v>205</v>
      </c>
      <c r="G468" s="16" t="s">
        <v>206</v>
      </c>
      <c r="H468" s="16" t="s">
        <v>85</v>
      </c>
      <c r="I468" s="16" t="s">
        <v>40</v>
      </c>
      <c r="J468" s="16" t="s">
        <v>38</v>
      </c>
      <c r="K468" s="16" t="s">
        <v>293</v>
      </c>
      <c r="L468" s="15">
        <v>-24487.499999801898</v>
      </c>
      <c r="M468" s="15">
        <v>0</v>
      </c>
      <c r="N468" s="15">
        <v>-24487.5</v>
      </c>
      <c r="O468" s="15">
        <v>1.9810067897196859E-7</v>
      </c>
      <c r="P468" s="15">
        <v>0</v>
      </c>
      <c r="Q468" s="15">
        <f t="shared" si="32"/>
        <v>0</v>
      </c>
      <c r="R468" s="36">
        <v>0</v>
      </c>
      <c r="S468" s="15">
        <f t="shared" si="33"/>
        <v>0</v>
      </c>
      <c r="T468" s="16"/>
      <c r="U468" s="26"/>
    </row>
    <row r="469" spans="1:21" x14ac:dyDescent="0.25">
      <c r="A469" s="16" t="s">
        <v>37</v>
      </c>
      <c r="B469" s="16" t="s">
        <v>269</v>
      </c>
      <c r="C469" s="16" t="s">
        <v>270</v>
      </c>
      <c r="D469" s="16" t="s">
        <v>184</v>
      </c>
      <c r="E469" s="16" t="s">
        <v>202</v>
      </c>
      <c r="F469" s="16" t="s">
        <v>207</v>
      </c>
      <c r="G469" s="16" t="s">
        <v>208</v>
      </c>
      <c r="H469" s="16" t="s">
        <v>85</v>
      </c>
      <c r="I469" s="16" t="s">
        <v>40</v>
      </c>
      <c r="J469" s="16" t="s">
        <v>38</v>
      </c>
      <c r="K469" s="16" t="s">
        <v>293</v>
      </c>
      <c r="L469" s="15">
        <v>-6020.0000000000018</v>
      </c>
      <c r="M469" s="15">
        <v>0</v>
      </c>
      <c r="N469" s="15">
        <v>0</v>
      </c>
      <c r="O469" s="15">
        <v>-6020.0000000000018</v>
      </c>
      <c r="P469" s="15">
        <v>-6020.0000000000018</v>
      </c>
      <c r="Q469" s="15">
        <v>0</v>
      </c>
      <c r="R469" s="36">
        <v>0</v>
      </c>
      <c r="S469" s="15">
        <f t="shared" si="33"/>
        <v>0</v>
      </c>
      <c r="T469" s="16"/>
      <c r="U469" s="16"/>
    </row>
    <row r="470" spans="1:21" x14ac:dyDescent="0.25">
      <c r="A470" s="16" t="s">
        <v>37</v>
      </c>
      <c r="B470" s="16" t="s">
        <v>257</v>
      </c>
      <c r="C470" s="16" t="s">
        <v>258</v>
      </c>
      <c r="D470" s="16" t="s">
        <v>184</v>
      </c>
      <c r="E470" s="16" t="s">
        <v>202</v>
      </c>
      <c r="F470" s="16" t="s">
        <v>207</v>
      </c>
      <c r="G470" s="16" t="s">
        <v>208</v>
      </c>
      <c r="H470" s="16" t="s">
        <v>85</v>
      </c>
      <c r="I470" s="16" t="s">
        <v>40</v>
      </c>
      <c r="J470" s="16" t="s">
        <v>38</v>
      </c>
      <c r="K470" s="16" t="s">
        <v>293</v>
      </c>
      <c r="L470" s="15">
        <v>-16324.999999887281</v>
      </c>
      <c r="M470" s="15">
        <v>0</v>
      </c>
      <c r="N470" s="15">
        <v>-16325</v>
      </c>
      <c r="O470" s="15">
        <v>1.1271731636952609E-7</v>
      </c>
      <c r="P470" s="15">
        <v>0</v>
      </c>
      <c r="Q470" s="15">
        <f t="shared" si="32"/>
        <v>0</v>
      </c>
      <c r="R470" s="36">
        <v>0</v>
      </c>
      <c r="S470" s="15">
        <f t="shared" si="33"/>
        <v>0</v>
      </c>
      <c r="T470" s="16"/>
      <c r="U470" s="26"/>
    </row>
    <row r="471" spans="1:21" x14ac:dyDescent="0.25">
      <c r="A471" s="16" t="s">
        <v>37</v>
      </c>
      <c r="B471" s="16" t="s">
        <v>269</v>
      </c>
      <c r="C471" s="16" t="s">
        <v>270</v>
      </c>
      <c r="D471" s="16" t="s">
        <v>184</v>
      </c>
      <c r="E471" s="16" t="s">
        <v>209</v>
      </c>
      <c r="F471" s="16" t="s">
        <v>210</v>
      </c>
      <c r="G471" s="16" t="s">
        <v>211</v>
      </c>
      <c r="H471" s="16" t="s">
        <v>85</v>
      </c>
      <c r="I471" s="16" t="s">
        <v>40</v>
      </c>
      <c r="J471" s="16" t="s">
        <v>38</v>
      </c>
      <c r="K471" s="16" t="s">
        <v>293</v>
      </c>
      <c r="L471" s="15">
        <v>-6648</v>
      </c>
      <c r="M471" s="15">
        <v>0</v>
      </c>
      <c r="N471" s="15">
        <v>0</v>
      </c>
      <c r="O471" s="15">
        <v>-6648</v>
      </c>
      <c r="P471" s="15">
        <v>-6648</v>
      </c>
      <c r="Q471" s="15">
        <v>0</v>
      </c>
      <c r="R471" s="36">
        <v>0</v>
      </c>
      <c r="S471" s="15">
        <f t="shared" si="33"/>
        <v>0</v>
      </c>
      <c r="T471" s="16"/>
      <c r="U471" s="16"/>
    </row>
    <row r="472" spans="1:21" x14ac:dyDescent="0.25">
      <c r="A472" s="16" t="s">
        <v>37</v>
      </c>
      <c r="B472" s="16" t="s">
        <v>257</v>
      </c>
      <c r="C472" s="16" t="s">
        <v>258</v>
      </c>
      <c r="D472" s="16" t="s">
        <v>184</v>
      </c>
      <c r="E472" s="16" t="s">
        <v>209</v>
      </c>
      <c r="F472" s="16" t="s">
        <v>210</v>
      </c>
      <c r="G472" s="16" t="s">
        <v>211</v>
      </c>
      <c r="H472" s="16" t="s">
        <v>85</v>
      </c>
      <c r="I472" s="16" t="s">
        <v>40</v>
      </c>
      <c r="J472" s="16" t="s">
        <v>38</v>
      </c>
      <c r="K472" s="16" t="s">
        <v>293</v>
      </c>
      <c r="L472" s="15">
        <v>-283322.00465245533</v>
      </c>
      <c r="M472" s="15">
        <v>-11655</v>
      </c>
      <c r="N472" s="15">
        <v>-53457.789999999994</v>
      </c>
      <c r="O472" s="15">
        <v>-229864.21465245535</v>
      </c>
      <c r="P472" s="15">
        <v>-229864.21465245535</v>
      </c>
      <c r="Q472" s="15">
        <v>0</v>
      </c>
      <c r="R472" s="36">
        <v>0</v>
      </c>
      <c r="S472" s="15">
        <f t="shared" si="33"/>
        <v>0</v>
      </c>
      <c r="T472" s="16"/>
      <c r="U472" s="26"/>
    </row>
    <row r="473" spans="1:21" x14ac:dyDescent="0.25">
      <c r="A473" s="16" t="s">
        <v>37</v>
      </c>
      <c r="B473" s="16" t="s">
        <v>269</v>
      </c>
      <c r="C473" s="16" t="s">
        <v>270</v>
      </c>
      <c r="D473" s="16" t="s">
        <v>184</v>
      </c>
      <c r="E473" s="16" t="s">
        <v>209</v>
      </c>
      <c r="F473" s="16" t="s">
        <v>210</v>
      </c>
      <c r="G473" s="16" t="s">
        <v>211</v>
      </c>
      <c r="H473" s="16" t="s">
        <v>85</v>
      </c>
      <c r="I473" s="16" t="s">
        <v>40</v>
      </c>
      <c r="J473" s="16" t="s">
        <v>62</v>
      </c>
      <c r="K473" s="16" t="s">
        <v>63</v>
      </c>
      <c r="L473" s="15">
        <v>-9472.6980000000003</v>
      </c>
      <c r="M473" s="15">
        <v>-9472.6980000000003</v>
      </c>
      <c r="N473" s="15">
        <v>-9472.6999871799962</v>
      </c>
      <c r="O473" s="15">
        <v>1.9871799959219061E-3</v>
      </c>
      <c r="P473" s="15">
        <v>0</v>
      </c>
      <c r="Q473" s="15">
        <f t="shared" si="32"/>
        <v>0</v>
      </c>
      <c r="R473" s="36">
        <v>0</v>
      </c>
      <c r="S473" s="15">
        <f t="shared" si="33"/>
        <v>0</v>
      </c>
      <c r="T473" s="16"/>
      <c r="U473" s="16"/>
    </row>
    <row r="474" spans="1:21" x14ac:dyDescent="0.25">
      <c r="A474" s="16" t="s">
        <v>37</v>
      </c>
      <c r="B474" s="16" t="s">
        <v>269</v>
      </c>
      <c r="C474" s="16" t="s">
        <v>270</v>
      </c>
      <c r="D474" s="16" t="s">
        <v>184</v>
      </c>
      <c r="E474" s="16" t="s">
        <v>209</v>
      </c>
      <c r="F474" s="16" t="s">
        <v>212</v>
      </c>
      <c r="G474" s="16" t="s">
        <v>213</v>
      </c>
      <c r="H474" s="16" t="s">
        <v>85</v>
      </c>
      <c r="I474" s="16" t="s">
        <v>40</v>
      </c>
      <c r="J474" s="16" t="s">
        <v>38</v>
      </c>
      <c r="K474" s="16" t="s">
        <v>293</v>
      </c>
      <c r="L474" s="15">
        <v>-1499</v>
      </c>
      <c r="M474" s="15">
        <v>0</v>
      </c>
      <c r="N474" s="15">
        <v>0</v>
      </c>
      <c r="O474" s="15">
        <v>-1499</v>
      </c>
      <c r="P474" s="15">
        <v>-1499</v>
      </c>
      <c r="Q474" s="15">
        <v>0</v>
      </c>
      <c r="R474" s="36">
        <v>0</v>
      </c>
      <c r="S474" s="15">
        <f t="shared" si="33"/>
        <v>0</v>
      </c>
      <c r="T474" s="16"/>
      <c r="U474" s="16"/>
    </row>
    <row r="475" spans="1:21" x14ac:dyDescent="0.25">
      <c r="A475" s="16" t="s">
        <v>37</v>
      </c>
      <c r="B475" s="16" t="s">
        <v>257</v>
      </c>
      <c r="C475" s="16" t="s">
        <v>258</v>
      </c>
      <c r="D475" s="16" t="s">
        <v>184</v>
      </c>
      <c r="E475" s="16" t="s">
        <v>209</v>
      </c>
      <c r="F475" s="16" t="s">
        <v>212</v>
      </c>
      <c r="G475" s="16" t="s">
        <v>213</v>
      </c>
      <c r="H475" s="16" t="s">
        <v>85</v>
      </c>
      <c r="I475" s="16" t="s">
        <v>40</v>
      </c>
      <c r="J475" s="16" t="s">
        <v>38</v>
      </c>
      <c r="K475" s="16" t="s">
        <v>293</v>
      </c>
      <c r="L475" s="15">
        <v>-8162.499999971933</v>
      </c>
      <c r="M475" s="15">
        <v>0</v>
      </c>
      <c r="N475" s="15">
        <v>-8162.5</v>
      </c>
      <c r="O475" s="15">
        <v>2.8067006496712565E-8</v>
      </c>
      <c r="P475" s="15">
        <v>0</v>
      </c>
      <c r="Q475" s="15">
        <f t="shared" si="32"/>
        <v>0</v>
      </c>
      <c r="R475" s="36">
        <v>0</v>
      </c>
      <c r="S475" s="15">
        <f t="shared" si="33"/>
        <v>0</v>
      </c>
      <c r="T475" s="16"/>
      <c r="U475" s="26"/>
    </row>
    <row r="476" spans="1:21" x14ac:dyDescent="0.25">
      <c r="A476" s="16" t="s">
        <v>37</v>
      </c>
      <c r="B476" s="16" t="s">
        <v>271</v>
      </c>
      <c r="C476" s="16" t="s">
        <v>272</v>
      </c>
      <c r="D476" s="16" t="s">
        <v>214</v>
      </c>
      <c r="E476" s="16" t="s">
        <v>215</v>
      </c>
      <c r="F476" s="16" t="s">
        <v>216</v>
      </c>
      <c r="G476" s="16" t="s">
        <v>217</v>
      </c>
      <c r="H476" s="16" t="s">
        <v>85</v>
      </c>
      <c r="I476" s="16" t="s">
        <v>40</v>
      </c>
      <c r="J476" s="16" t="s">
        <v>77</v>
      </c>
      <c r="K476" s="16" t="s">
        <v>78</v>
      </c>
      <c r="L476" s="15">
        <v>0</v>
      </c>
      <c r="M476" s="15">
        <v>0</v>
      </c>
      <c r="N476" s="15">
        <v>0</v>
      </c>
      <c r="O476" s="15">
        <v>0</v>
      </c>
      <c r="P476" s="15">
        <v>0</v>
      </c>
      <c r="Q476" s="15">
        <f t="shared" si="32"/>
        <v>180000</v>
      </c>
      <c r="R476" s="36">
        <v>-180000</v>
      </c>
      <c r="S476" s="15">
        <f t="shared" si="33"/>
        <v>0</v>
      </c>
      <c r="T476" s="16"/>
      <c r="U476" s="16"/>
    </row>
    <row r="477" spans="1:21" x14ac:dyDescent="0.25">
      <c r="A477" s="16" t="s">
        <v>37</v>
      </c>
      <c r="B477" s="16" t="s">
        <v>271</v>
      </c>
      <c r="C477" s="16" t="s">
        <v>272</v>
      </c>
      <c r="D477" s="16" t="s">
        <v>214</v>
      </c>
      <c r="E477" s="16" t="s">
        <v>215</v>
      </c>
      <c r="F477" s="16" t="s">
        <v>216</v>
      </c>
      <c r="G477" s="16" t="s">
        <v>217</v>
      </c>
      <c r="H477" s="16" t="s">
        <v>85</v>
      </c>
      <c r="I477" s="16" t="s">
        <v>40</v>
      </c>
      <c r="J477" s="16" t="s">
        <v>79</v>
      </c>
      <c r="K477" s="16" t="s">
        <v>80</v>
      </c>
      <c r="L477" s="15">
        <v>0</v>
      </c>
      <c r="M477" s="15">
        <v>0</v>
      </c>
      <c r="N477" s="15">
        <v>0</v>
      </c>
      <c r="O477" s="15">
        <v>0</v>
      </c>
      <c r="P477" s="15">
        <v>0</v>
      </c>
      <c r="Q477" s="15">
        <f t="shared" si="32"/>
        <v>200000</v>
      </c>
      <c r="R477" s="36">
        <v>-200000</v>
      </c>
      <c r="S477" s="15">
        <f t="shared" si="33"/>
        <v>0</v>
      </c>
      <c r="T477" s="16"/>
      <c r="U477" s="16"/>
    </row>
    <row r="478" spans="1:21" x14ac:dyDescent="0.25">
      <c r="A478" s="16" t="s">
        <v>37</v>
      </c>
      <c r="B478" s="16" t="s">
        <v>269</v>
      </c>
      <c r="C478" s="16" t="s">
        <v>270</v>
      </c>
      <c r="D478" s="16" t="s">
        <v>214</v>
      </c>
      <c r="E478" s="16" t="s">
        <v>218</v>
      </c>
      <c r="F478" s="16" t="s">
        <v>219</v>
      </c>
      <c r="G478" s="16" t="s">
        <v>220</v>
      </c>
      <c r="H478" s="16" t="s">
        <v>85</v>
      </c>
      <c r="I478" s="16" t="s">
        <v>40</v>
      </c>
      <c r="J478" s="16" t="s">
        <v>38</v>
      </c>
      <c r="K478" s="16" t="s">
        <v>293</v>
      </c>
      <c r="L478" s="15">
        <v>-15348.801630610344</v>
      </c>
      <c r="M478" s="15">
        <v>0</v>
      </c>
      <c r="N478" s="15">
        <v>-6181.9399054475953</v>
      </c>
      <c r="O478" s="15">
        <v>-9166.8617251627475</v>
      </c>
      <c r="P478" s="15">
        <v>-9166.8617251627475</v>
      </c>
      <c r="Q478" s="15">
        <f>P478+9167</f>
        <v>0.13827483725253842</v>
      </c>
      <c r="R478" s="36">
        <v>0</v>
      </c>
      <c r="S478" s="15">
        <f t="shared" si="33"/>
        <v>0.13827483725253842</v>
      </c>
      <c r="T478" s="16"/>
      <c r="U478" s="16"/>
    </row>
    <row r="479" spans="1:21" x14ac:dyDescent="0.25">
      <c r="A479" s="16" t="s">
        <v>37</v>
      </c>
      <c r="B479" s="16" t="s">
        <v>257</v>
      </c>
      <c r="C479" s="16" t="s">
        <v>258</v>
      </c>
      <c r="D479" s="16" t="s">
        <v>214</v>
      </c>
      <c r="E479" s="16" t="s">
        <v>218</v>
      </c>
      <c r="F479" s="16" t="s">
        <v>219</v>
      </c>
      <c r="G479" s="16" t="s">
        <v>220</v>
      </c>
      <c r="H479" s="16" t="s">
        <v>85</v>
      </c>
      <c r="I479" s="16" t="s">
        <v>40</v>
      </c>
      <c r="J479" s="16" t="s">
        <v>38</v>
      </c>
      <c r="K479" s="16" t="s">
        <v>293</v>
      </c>
      <c r="L479" s="15">
        <v>-177487.76909784213</v>
      </c>
      <c r="M479" s="15">
        <v>-43754.400000000001</v>
      </c>
      <c r="N479" s="15">
        <v>-114346.56622938419</v>
      </c>
      <c r="O479" s="15">
        <v>-63141.202868457913</v>
      </c>
      <c r="P479" s="15">
        <v>-63141.202868457913</v>
      </c>
      <c r="Q479" s="15">
        <f>P479+P478</f>
        <v>-72308.064593620657</v>
      </c>
      <c r="R479" s="36">
        <v>0</v>
      </c>
      <c r="S479" s="15">
        <f t="shared" si="33"/>
        <v>-72308.064593620657</v>
      </c>
      <c r="T479" s="16"/>
      <c r="U479" s="26"/>
    </row>
    <row r="480" spans="1:21" x14ac:dyDescent="0.25">
      <c r="A480" s="16" t="s">
        <v>37</v>
      </c>
      <c r="B480" s="16" t="s">
        <v>257</v>
      </c>
      <c r="C480" s="16" t="s">
        <v>258</v>
      </c>
      <c r="D480" s="16" t="s">
        <v>214</v>
      </c>
      <c r="E480" s="16" t="s">
        <v>218</v>
      </c>
      <c r="F480" s="16" t="s">
        <v>219</v>
      </c>
      <c r="G480" s="16" t="s">
        <v>220</v>
      </c>
      <c r="H480" s="16" t="s">
        <v>85</v>
      </c>
      <c r="I480" s="16" t="s">
        <v>40</v>
      </c>
      <c r="J480" s="16" t="s">
        <v>221</v>
      </c>
      <c r="K480" s="16" t="s">
        <v>222</v>
      </c>
      <c r="L480" s="15">
        <v>-723550.31</v>
      </c>
      <c r="M480" s="15">
        <v>0</v>
      </c>
      <c r="N480" s="15">
        <v>-78422.67</v>
      </c>
      <c r="O480" s="15">
        <v>-645127.64000000013</v>
      </c>
      <c r="P480" s="15">
        <v>-645127.64000000013</v>
      </c>
      <c r="Q480" s="15">
        <f t="shared" si="32"/>
        <v>-645127.64000000013</v>
      </c>
      <c r="R480" s="36">
        <v>0</v>
      </c>
      <c r="S480" s="15">
        <f t="shared" si="33"/>
        <v>-645127.64000000013</v>
      </c>
      <c r="T480" s="16"/>
      <c r="U480" s="26"/>
    </row>
    <row r="481" spans="1:21" x14ac:dyDescent="0.25">
      <c r="A481" s="16" t="s">
        <v>37</v>
      </c>
      <c r="B481" s="16" t="s">
        <v>257</v>
      </c>
      <c r="C481" s="16" t="s">
        <v>258</v>
      </c>
      <c r="D481" s="16" t="s">
        <v>214</v>
      </c>
      <c r="E481" s="16" t="s">
        <v>218</v>
      </c>
      <c r="F481" s="16" t="s">
        <v>219</v>
      </c>
      <c r="G481" s="16" t="s">
        <v>220</v>
      </c>
      <c r="H481" s="16" t="s">
        <v>85</v>
      </c>
      <c r="I481" s="16" t="s">
        <v>40</v>
      </c>
      <c r="J481" s="16" t="s">
        <v>223</v>
      </c>
      <c r="K481" s="16" t="s">
        <v>224</v>
      </c>
      <c r="L481" s="15">
        <v>-709754.59</v>
      </c>
      <c r="M481" s="15">
        <v>0</v>
      </c>
      <c r="N481" s="15">
        <v>-285974.53999999998</v>
      </c>
      <c r="O481" s="15">
        <v>-423780.05</v>
      </c>
      <c r="P481" s="15">
        <v>-423780.05</v>
      </c>
      <c r="Q481" s="15">
        <f t="shared" si="32"/>
        <v>-423780.05</v>
      </c>
      <c r="R481" s="36">
        <v>0</v>
      </c>
      <c r="S481" s="15">
        <f t="shared" si="33"/>
        <v>-423780.05</v>
      </c>
      <c r="T481" s="16"/>
      <c r="U481" s="26"/>
    </row>
    <row r="482" spans="1:21" x14ac:dyDescent="0.25">
      <c r="A482" s="16" t="s">
        <v>37</v>
      </c>
      <c r="B482" s="16" t="s">
        <v>257</v>
      </c>
      <c r="C482" s="16" t="s">
        <v>258</v>
      </c>
      <c r="D482" s="16" t="s">
        <v>214</v>
      </c>
      <c r="E482" s="16" t="s">
        <v>218</v>
      </c>
      <c r="F482" s="16" t="s">
        <v>219</v>
      </c>
      <c r="G482" s="16" t="s">
        <v>220</v>
      </c>
      <c r="H482" s="16" t="s">
        <v>85</v>
      </c>
      <c r="I482" s="16" t="s">
        <v>40</v>
      </c>
      <c r="J482" s="16" t="s">
        <v>225</v>
      </c>
      <c r="K482" s="16" t="s">
        <v>226</v>
      </c>
      <c r="L482" s="15">
        <v>-985919.54999999993</v>
      </c>
      <c r="M482" s="15">
        <v>-985919.54999999993</v>
      </c>
      <c r="N482" s="15">
        <v>-920899.58</v>
      </c>
      <c r="O482" s="15">
        <v>-65019.969999999972</v>
      </c>
      <c r="P482" s="15">
        <v>0</v>
      </c>
      <c r="Q482" s="15">
        <f t="shared" si="32"/>
        <v>0</v>
      </c>
      <c r="R482" s="36">
        <v>0</v>
      </c>
      <c r="S482" s="15">
        <f t="shared" si="33"/>
        <v>0</v>
      </c>
      <c r="T482" s="16"/>
      <c r="U482" s="26"/>
    </row>
    <row r="483" spans="1:21" x14ac:dyDescent="0.25">
      <c r="A483" s="16" t="s">
        <v>37</v>
      </c>
      <c r="B483" s="16" t="s">
        <v>257</v>
      </c>
      <c r="C483" s="16" t="s">
        <v>258</v>
      </c>
      <c r="D483" s="16" t="s">
        <v>214</v>
      </c>
      <c r="E483" s="16" t="s">
        <v>218</v>
      </c>
      <c r="F483" s="16" t="s">
        <v>219</v>
      </c>
      <c r="G483" s="16" t="s">
        <v>220</v>
      </c>
      <c r="H483" s="16" t="s">
        <v>85</v>
      </c>
      <c r="I483" s="16" t="s">
        <v>40</v>
      </c>
      <c r="J483" s="16" t="s">
        <v>296</v>
      </c>
      <c r="K483" s="16" t="s">
        <v>297</v>
      </c>
      <c r="L483" s="15">
        <v>-65110.199951399991</v>
      </c>
      <c r="M483" s="15">
        <v>0</v>
      </c>
      <c r="N483" s="15">
        <v>-48673.494599999998</v>
      </c>
      <c r="O483" s="15">
        <v>-16436.705351399996</v>
      </c>
      <c r="P483" s="15">
        <v>-16436.705351399996</v>
      </c>
      <c r="Q483" s="15">
        <f t="shared" si="32"/>
        <v>-16436.705351399996</v>
      </c>
      <c r="R483" s="36">
        <v>0</v>
      </c>
      <c r="S483" s="15">
        <f t="shared" si="33"/>
        <v>-16436.705351399996</v>
      </c>
      <c r="T483" s="16"/>
      <c r="U483" s="26"/>
    </row>
    <row r="484" spans="1:21" x14ac:dyDescent="0.25">
      <c r="A484" s="16" t="s">
        <v>37</v>
      </c>
      <c r="B484" s="16" t="s">
        <v>257</v>
      </c>
      <c r="C484" s="16" t="s">
        <v>258</v>
      </c>
      <c r="D484" s="16" t="s">
        <v>214</v>
      </c>
      <c r="E484" s="16" t="s">
        <v>218</v>
      </c>
      <c r="F484" s="16" t="s">
        <v>219</v>
      </c>
      <c r="G484" s="16" t="s">
        <v>220</v>
      </c>
      <c r="H484" s="16" t="s">
        <v>85</v>
      </c>
      <c r="I484" s="16" t="s">
        <v>40</v>
      </c>
      <c r="J484" s="16" t="s">
        <v>298</v>
      </c>
      <c r="K484" s="16" t="s">
        <v>299</v>
      </c>
      <c r="L484" s="15">
        <v>-78.741935483870961</v>
      </c>
      <c r="M484" s="15">
        <v>0</v>
      </c>
      <c r="N484" s="15">
        <v>-26.451493674800002</v>
      </c>
      <c r="O484" s="15">
        <v>-52.290441809070941</v>
      </c>
      <c r="P484" s="15">
        <v>-52.290441809070941</v>
      </c>
      <c r="Q484" s="15">
        <f t="shared" si="32"/>
        <v>-52.290441809070941</v>
      </c>
      <c r="R484" s="36">
        <v>0</v>
      </c>
      <c r="S484" s="15">
        <f t="shared" si="33"/>
        <v>-52.290441809070941</v>
      </c>
      <c r="T484" s="16"/>
      <c r="U484" s="26"/>
    </row>
    <row r="485" spans="1:21" x14ac:dyDescent="0.25">
      <c r="A485" s="16" t="s">
        <v>37</v>
      </c>
      <c r="B485" s="16" t="s">
        <v>269</v>
      </c>
      <c r="C485" s="16" t="s">
        <v>270</v>
      </c>
      <c r="D485" s="16" t="s">
        <v>214</v>
      </c>
      <c r="E485" s="16" t="s">
        <v>218</v>
      </c>
      <c r="F485" s="16" t="s">
        <v>219</v>
      </c>
      <c r="G485" s="16" t="s">
        <v>220</v>
      </c>
      <c r="H485" s="16" t="s">
        <v>85</v>
      </c>
      <c r="I485" s="16" t="s">
        <v>40</v>
      </c>
      <c r="J485" s="16" t="s">
        <v>62</v>
      </c>
      <c r="K485" s="16" t="s">
        <v>63</v>
      </c>
      <c r="L485" s="15">
        <v>-2046.7529999999997</v>
      </c>
      <c r="M485" s="15">
        <v>-2046.7529999999997</v>
      </c>
      <c r="N485" s="15">
        <v>-2046.7499972300038</v>
      </c>
      <c r="O485" s="15">
        <v>-3.0027699957599907E-3</v>
      </c>
      <c r="P485" s="15">
        <v>0</v>
      </c>
      <c r="Q485" s="15">
        <f t="shared" si="32"/>
        <v>0</v>
      </c>
      <c r="R485" s="36">
        <v>0</v>
      </c>
      <c r="S485" s="15">
        <f t="shared" si="33"/>
        <v>0</v>
      </c>
      <c r="T485" s="16"/>
      <c r="U485" s="16"/>
    </row>
    <row r="486" spans="1:21" x14ac:dyDescent="0.25">
      <c r="A486" s="16" t="s">
        <v>37</v>
      </c>
      <c r="B486" s="16" t="s">
        <v>257</v>
      </c>
      <c r="C486" s="16" t="s">
        <v>258</v>
      </c>
      <c r="D486" s="16" t="s">
        <v>214</v>
      </c>
      <c r="E486" s="16" t="s">
        <v>218</v>
      </c>
      <c r="F486" s="16" t="s">
        <v>219</v>
      </c>
      <c r="G486" s="16" t="s">
        <v>220</v>
      </c>
      <c r="H486" s="16" t="s">
        <v>85</v>
      </c>
      <c r="I486" s="16" t="s">
        <v>40</v>
      </c>
      <c r="J486" s="16" t="s">
        <v>227</v>
      </c>
      <c r="K486" s="16" t="s">
        <v>228</v>
      </c>
      <c r="L486" s="15">
        <v>-25859000.0002</v>
      </c>
      <c r="M486" s="15">
        <v>0</v>
      </c>
      <c r="N486" s="15">
        <v>-25856746.48</v>
      </c>
      <c r="O486" s="15">
        <v>-2253.5201999992132</v>
      </c>
      <c r="P486" s="15">
        <v>-2253.5201999992132</v>
      </c>
      <c r="Q486" s="15">
        <v>0</v>
      </c>
      <c r="R486" s="36">
        <v>0</v>
      </c>
      <c r="S486" s="15">
        <f t="shared" si="33"/>
        <v>0</v>
      </c>
      <c r="T486" s="16"/>
      <c r="U486" s="15">
        <f>O486</f>
        <v>-2253.5201999992132</v>
      </c>
    </row>
    <row r="487" spans="1:21" x14ac:dyDescent="0.25">
      <c r="A487" s="16" t="s">
        <v>37</v>
      </c>
      <c r="B487" s="16" t="s">
        <v>271</v>
      </c>
      <c r="C487" s="16" t="s">
        <v>272</v>
      </c>
      <c r="D487" s="16" t="s">
        <v>214</v>
      </c>
      <c r="E487" s="16" t="s">
        <v>218</v>
      </c>
      <c r="F487" s="16" t="s">
        <v>229</v>
      </c>
      <c r="G487" s="16" t="s">
        <v>217</v>
      </c>
      <c r="H487" s="16" t="s">
        <v>85</v>
      </c>
      <c r="I487" s="16" t="s">
        <v>40</v>
      </c>
      <c r="J487" s="16" t="s">
        <v>38</v>
      </c>
      <c r="K487" s="16" t="s">
        <v>293</v>
      </c>
      <c r="L487" s="15">
        <v>-7909936.519989999</v>
      </c>
      <c r="M487" s="15">
        <v>-11617.52</v>
      </c>
      <c r="N487" s="15">
        <v>-3470608.1826999998</v>
      </c>
      <c r="O487" s="15">
        <v>-4439328.3372900002</v>
      </c>
      <c r="P487" s="15">
        <v>-4439328.3372900002</v>
      </c>
      <c r="Q487" s="15">
        <f t="shared" ref="Q487:Q488" si="34">P487</f>
        <v>-4439328.3372900002</v>
      </c>
      <c r="R487" s="36">
        <v>0</v>
      </c>
      <c r="S487" s="15">
        <f t="shared" si="33"/>
        <v>-4439328.3372900002</v>
      </c>
      <c r="T487" s="16"/>
      <c r="U487" s="16"/>
    </row>
    <row r="488" spans="1:21" x14ac:dyDescent="0.25">
      <c r="A488" s="16" t="s">
        <v>37</v>
      </c>
      <c r="B488" s="16" t="s">
        <v>259</v>
      </c>
      <c r="C488" s="16" t="s">
        <v>260</v>
      </c>
      <c r="D488" s="16" t="s">
        <v>214</v>
      </c>
      <c r="E488" s="16" t="s">
        <v>218</v>
      </c>
      <c r="F488" s="16" t="s">
        <v>229</v>
      </c>
      <c r="G488" s="16" t="s">
        <v>217</v>
      </c>
      <c r="H488" s="16" t="s">
        <v>85</v>
      </c>
      <c r="I488" s="16" t="s">
        <v>40</v>
      </c>
      <c r="J488" s="16" t="s">
        <v>38</v>
      </c>
      <c r="K488" s="16" t="s">
        <v>293</v>
      </c>
      <c r="L488" s="15">
        <v>-2722525.4942032788</v>
      </c>
      <c r="M488" s="15">
        <v>0</v>
      </c>
      <c r="N488" s="15">
        <v>-1683822.9491519728</v>
      </c>
      <c r="O488" s="15">
        <v>-1038702.5450513053</v>
      </c>
      <c r="P488" s="15">
        <v>-1038702.5450513053</v>
      </c>
      <c r="Q488" s="15">
        <f t="shared" si="34"/>
        <v>-1038702.5450513053</v>
      </c>
      <c r="R488" s="36">
        <v>0</v>
      </c>
      <c r="S488" s="15">
        <f t="shared" si="33"/>
        <v>-1038702.5450513053</v>
      </c>
      <c r="T488" s="16"/>
      <c r="U488" s="16"/>
    </row>
    <row r="489" spans="1:21" x14ac:dyDescent="0.25">
      <c r="A489" s="16" t="s">
        <v>37</v>
      </c>
      <c r="B489" s="16" t="s">
        <v>269</v>
      </c>
      <c r="C489" s="16" t="s">
        <v>270</v>
      </c>
      <c r="D489" s="16" t="s">
        <v>214</v>
      </c>
      <c r="E489" s="16" t="s">
        <v>218</v>
      </c>
      <c r="F489" s="16" t="s">
        <v>229</v>
      </c>
      <c r="G489" s="16" t="s">
        <v>217</v>
      </c>
      <c r="H489" s="16" t="s">
        <v>85</v>
      </c>
      <c r="I489" s="16" t="s">
        <v>40</v>
      </c>
      <c r="J489" s="16" t="s">
        <v>38</v>
      </c>
      <c r="K489" s="16" t="s">
        <v>293</v>
      </c>
      <c r="L489" s="15">
        <v>-43653.235553377082</v>
      </c>
      <c r="M489" s="15">
        <v>0</v>
      </c>
      <c r="N489" s="15">
        <v>-7155.3392828247024</v>
      </c>
      <c r="O489" s="15">
        <v>-36497.896270552374</v>
      </c>
      <c r="P489" s="15">
        <v>-36497.896270552374</v>
      </c>
      <c r="Q489" s="15">
        <f>P489+36498</f>
        <v>0.10372944762639236</v>
      </c>
      <c r="R489" s="36">
        <v>0</v>
      </c>
      <c r="S489" s="15">
        <f t="shared" si="33"/>
        <v>0.10372944762639236</v>
      </c>
      <c r="T489" s="16"/>
      <c r="U489" s="16"/>
    </row>
    <row r="490" spans="1:21" x14ac:dyDescent="0.25">
      <c r="A490" s="16" t="s">
        <v>37</v>
      </c>
      <c r="B490" s="16" t="s">
        <v>257</v>
      </c>
      <c r="C490" s="16" t="s">
        <v>258</v>
      </c>
      <c r="D490" s="16" t="s">
        <v>214</v>
      </c>
      <c r="E490" s="16" t="s">
        <v>218</v>
      </c>
      <c r="F490" s="16" t="s">
        <v>229</v>
      </c>
      <c r="G490" s="16" t="s">
        <v>217</v>
      </c>
      <c r="H490" s="16" t="s">
        <v>85</v>
      </c>
      <c r="I490" s="16" t="s">
        <v>40</v>
      </c>
      <c r="J490" s="16" t="s">
        <v>38</v>
      </c>
      <c r="K490" s="16" t="s">
        <v>293</v>
      </c>
      <c r="L490" s="15">
        <v>-307007.73201101931</v>
      </c>
      <c r="M490" s="15">
        <v>-49440</v>
      </c>
      <c r="N490" s="15">
        <v>-611848.73498035409</v>
      </c>
      <c r="O490" s="15">
        <v>304841.00296933495</v>
      </c>
      <c r="P490" s="15">
        <f>O490</f>
        <v>304841.00296933495</v>
      </c>
      <c r="Q490" s="15">
        <f>P490+P489</f>
        <v>268343.10669878259</v>
      </c>
      <c r="R490" s="36">
        <v>0</v>
      </c>
      <c r="S490" s="15">
        <f t="shared" si="33"/>
        <v>268343.10669878259</v>
      </c>
      <c r="T490" s="16"/>
      <c r="U490" s="26"/>
    </row>
    <row r="491" spans="1:21" x14ac:dyDescent="0.25">
      <c r="A491" s="16" t="s">
        <v>37</v>
      </c>
      <c r="B491" s="16" t="s">
        <v>257</v>
      </c>
      <c r="C491" s="16" t="s">
        <v>258</v>
      </c>
      <c r="D491" s="16" t="s">
        <v>214</v>
      </c>
      <c r="E491" s="16" t="s">
        <v>218</v>
      </c>
      <c r="F491" s="16" t="s">
        <v>229</v>
      </c>
      <c r="G491" s="16" t="s">
        <v>217</v>
      </c>
      <c r="H491" s="16" t="s">
        <v>85</v>
      </c>
      <c r="I491" s="16" t="s">
        <v>40</v>
      </c>
      <c r="J491" s="16" t="s">
        <v>296</v>
      </c>
      <c r="K491" s="16" t="s">
        <v>297</v>
      </c>
      <c r="L491" s="15">
        <v>-43406.799967599996</v>
      </c>
      <c r="M491" s="15">
        <v>0</v>
      </c>
      <c r="N491" s="15">
        <v>-32448.9964</v>
      </c>
      <c r="O491" s="15">
        <v>-10957.803567600007</v>
      </c>
      <c r="P491" s="15">
        <v>-10957.803567600007</v>
      </c>
      <c r="Q491" s="15">
        <f t="shared" si="32"/>
        <v>-10957.803567600007</v>
      </c>
      <c r="R491" s="36">
        <v>0</v>
      </c>
      <c r="S491" s="15">
        <f t="shared" si="33"/>
        <v>-10957.803567600007</v>
      </c>
      <c r="T491" s="16"/>
      <c r="U491" s="26"/>
    </row>
    <row r="492" spans="1:21" x14ac:dyDescent="0.25">
      <c r="A492" s="16" t="s">
        <v>37</v>
      </c>
      <c r="B492" s="16" t="s">
        <v>259</v>
      </c>
      <c r="C492" s="16" t="s">
        <v>260</v>
      </c>
      <c r="D492" s="16" t="s">
        <v>214</v>
      </c>
      <c r="E492" s="16" t="s">
        <v>218</v>
      </c>
      <c r="F492" s="16" t="s">
        <v>229</v>
      </c>
      <c r="G492" s="16" t="s">
        <v>217</v>
      </c>
      <c r="H492" s="16" t="s">
        <v>85</v>
      </c>
      <c r="I492" s="16" t="s">
        <v>40</v>
      </c>
      <c r="J492" s="16" t="s">
        <v>124</v>
      </c>
      <c r="K492" s="16" t="s">
        <v>125</v>
      </c>
      <c r="L492" s="15">
        <v>0</v>
      </c>
      <c r="M492" s="15">
        <v>0</v>
      </c>
      <c r="N492" s="15">
        <v>3.3466575447960167E-3</v>
      </c>
      <c r="O492" s="15">
        <v>-3.3466575447960167E-3</v>
      </c>
      <c r="P492" s="15">
        <v>0</v>
      </c>
      <c r="Q492" s="15">
        <f t="shared" si="32"/>
        <v>0</v>
      </c>
      <c r="R492" s="36">
        <v>0</v>
      </c>
      <c r="S492" s="15">
        <f t="shared" si="33"/>
        <v>0</v>
      </c>
      <c r="T492" s="16"/>
      <c r="U492" s="16"/>
    </row>
    <row r="493" spans="1:21" x14ac:dyDescent="0.25">
      <c r="A493" s="16" t="s">
        <v>37</v>
      </c>
      <c r="B493" s="16" t="s">
        <v>257</v>
      </c>
      <c r="C493" s="16" t="s">
        <v>258</v>
      </c>
      <c r="D493" s="16" t="s">
        <v>214</v>
      </c>
      <c r="E493" s="16" t="s">
        <v>218</v>
      </c>
      <c r="F493" s="16" t="s">
        <v>229</v>
      </c>
      <c r="G493" s="16" t="s">
        <v>217</v>
      </c>
      <c r="H493" s="16" t="s">
        <v>85</v>
      </c>
      <c r="I493" s="16" t="s">
        <v>40</v>
      </c>
      <c r="J493" s="16" t="s">
        <v>298</v>
      </c>
      <c r="K493" s="16" t="s">
        <v>299</v>
      </c>
      <c r="L493" s="15">
        <v>-78.741935483870961</v>
      </c>
      <c r="M493" s="15">
        <v>0</v>
      </c>
      <c r="N493" s="15">
        <v>-15.9319120748</v>
      </c>
      <c r="O493" s="15">
        <v>-62.810023409070951</v>
      </c>
      <c r="P493" s="15">
        <v>-62.810023409070951</v>
      </c>
      <c r="Q493" s="15">
        <f t="shared" si="32"/>
        <v>-62.810023409070951</v>
      </c>
      <c r="R493" s="36">
        <v>0</v>
      </c>
      <c r="S493" s="15">
        <f t="shared" si="33"/>
        <v>-62.810023409070951</v>
      </c>
      <c r="T493" s="16"/>
      <c r="U493" s="26"/>
    </row>
    <row r="494" spans="1:21" x14ac:dyDescent="0.25">
      <c r="A494" s="16" t="s">
        <v>37</v>
      </c>
      <c r="B494" s="16" t="s">
        <v>271</v>
      </c>
      <c r="C494" s="16" t="s">
        <v>272</v>
      </c>
      <c r="D494" s="16" t="s">
        <v>214</v>
      </c>
      <c r="E494" s="16" t="s">
        <v>218</v>
      </c>
      <c r="F494" s="16" t="s">
        <v>229</v>
      </c>
      <c r="G494" s="16" t="s">
        <v>217</v>
      </c>
      <c r="H494" s="16" t="s">
        <v>85</v>
      </c>
      <c r="I494" s="16" t="s">
        <v>40</v>
      </c>
      <c r="J494" s="16" t="s">
        <v>287</v>
      </c>
      <c r="K494" s="16" t="s">
        <v>288</v>
      </c>
      <c r="L494" s="15">
        <v>-793600</v>
      </c>
      <c r="M494" s="15">
        <v>0</v>
      </c>
      <c r="N494" s="15">
        <v>-540652.51</v>
      </c>
      <c r="O494" s="15">
        <v>-252947.48999999996</v>
      </c>
      <c r="P494" s="15">
        <v>-252947.48999999996</v>
      </c>
      <c r="Q494" s="15">
        <f t="shared" si="32"/>
        <v>-252947.48999999996</v>
      </c>
      <c r="R494" s="36">
        <v>0</v>
      </c>
      <c r="S494" s="15">
        <f t="shared" si="33"/>
        <v>-252947.48999999996</v>
      </c>
      <c r="T494" s="16"/>
      <c r="U494" s="16"/>
    </row>
    <row r="495" spans="1:21" x14ac:dyDescent="0.25">
      <c r="A495" s="16" t="s">
        <v>37</v>
      </c>
      <c r="B495" s="16" t="s">
        <v>259</v>
      </c>
      <c r="C495" s="16" t="s">
        <v>260</v>
      </c>
      <c r="D495" s="16" t="s">
        <v>214</v>
      </c>
      <c r="E495" s="16" t="s">
        <v>218</v>
      </c>
      <c r="F495" s="16" t="s">
        <v>229</v>
      </c>
      <c r="G495" s="16" t="s">
        <v>217</v>
      </c>
      <c r="H495" s="16" t="s">
        <v>85</v>
      </c>
      <c r="I495" s="16" t="s">
        <v>40</v>
      </c>
      <c r="J495" s="16" t="s">
        <v>287</v>
      </c>
      <c r="K495" s="16" t="s">
        <v>288</v>
      </c>
      <c r="L495" s="15">
        <v>-348014.04979999986</v>
      </c>
      <c r="M495" s="15">
        <v>0</v>
      </c>
      <c r="N495" s="15">
        <v>-152055.27009792</v>
      </c>
      <c r="O495" s="15">
        <v>-195958.77970207989</v>
      </c>
      <c r="P495" s="15">
        <v>-195958.77970207989</v>
      </c>
      <c r="Q495" s="15">
        <v>0</v>
      </c>
      <c r="R495" s="36">
        <v>-195958.73</v>
      </c>
      <c r="S495" s="15">
        <f t="shared" si="33"/>
        <v>-195958.73</v>
      </c>
      <c r="T495" s="16"/>
      <c r="U495" s="16"/>
    </row>
    <row r="496" spans="1:21" x14ac:dyDescent="0.25">
      <c r="A496" s="16" t="s">
        <v>37</v>
      </c>
      <c r="B496" s="16" t="s">
        <v>269</v>
      </c>
      <c r="C496" s="16" t="s">
        <v>270</v>
      </c>
      <c r="D496" s="16" t="s">
        <v>214</v>
      </c>
      <c r="E496" s="16" t="s">
        <v>218</v>
      </c>
      <c r="F496" s="16" t="s">
        <v>229</v>
      </c>
      <c r="G496" s="16" t="s">
        <v>217</v>
      </c>
      <c r="H496" s="16" t="s">
        <v>85</v>
      </c>
      <c r="I496" s="16" t="s">
        <v>40</v>
      </c>
      <c r="J496" s="16" t="s">
        <v>62</v>
      </c>
      <c r="K496" s="16" t="s">
        <v>63</v>
      </c>
      <c r="L496" s="15">
        <v>-1529.5229999999997</v>
      </c>
      <c r="M496" s="15">
        <v>-1529.5229999999997</v>
      </c>
      <c r="N496" s="15">
        <v>-1529.5199979300039</v>
      </c>
      <c r="O496" s="15">
        <v>-3.0020699958868136E-3</v>
      </c>
      <c r="P496" s="15">
        <v>0</v>
      </c>
      <c r="Q496" s="15">
        <f t="shared" si="32"/>
        <v>0</v>
      </c>
      <c r="R496" s="36">
        <v>0</v>
      </c>
      <c r="S496" s="15">
        <f t="shared" si="33"/>
        <v>0</v>
      </c>
      <c r="T496" s="16"/>
      <c r="U496" s="16"/>
    </row>
    <row r="497" spans="1:21" x14ac:dyDescent="0.25">
      <c r="A497" s="16" t="s">
        <v>37</v>
      </c>
      <c r="B497" s="16" t="s">
        <v>271</v>
      </c>
      <c r="C497" s="16" t="s">
        <v>272</v>
      </c>
      <c r="D497" s="16" t="s">
        <v>214</v>
      </c>
      <c r="E497" s="16" t="s">
        <v>218</v>
      </c>
      <c r="F497" s="16" t="s">
        <v>229</v>
      </c>
      <c r="G497" s="16" t="s">
        <v>217</v>
      </c>
      <c r="H497" s="16" t="s">
        <v>85</v>
      </c>
      <c r="I497" s="16" t="s">
        <v>40</v>
      </c>
      <c r="J497" s="16" t="s">
        <v>77</v>
      </c>
      <c r="K497" s="16" t="s">
        <v>78</v>
      </c>
      <c r="L497" s="15">
        <v>-3773000</v>
      </c>
      <c r="M497" s="15">
        <v>0</v>
      </c>
      <c r="N497" s="15">
        <v>-3537629.9599999995</v>
      </c>
      <c r="O497" s="15">
        <v>-235370.04000000079</v>
      </c>
      <c r="P497" s="15">
        <v>-235370.04000000079</v>
      </c>
      <c r="Q497" s="15">
        <f t="shared" si="32"/>
        <v>-235370.04000000079</v>
      </c>
      <c r="R497" s="36">
        <v>0</v>
      </c>
      <c r="S497" s="15">
        <f t="shared" si="33"/>
        <v>-235370.04000000079</v>
      </c>
      <c r="T497" s="16"/>
      <c r="U497" s="16"/>
    </row>
    <row r="498" spans="1:21" x14ac:dyDescent="0.25">
      <c r="A498" s="16" t="s">
        <v>37</v>
      </c>
      <c r="B498" s="16" t="s">
        <v>271</v>
      </c>
      <c r="C498" s="16" t="s">
        <v>272</v>
      </c>
      <c r="D498" s="16" t="s">
        <v>214</v>
      </c>
      <c r="E498" s="16" t="s">
        <v>218</v>
      </c>
      <c r="F498" s="16" t="s">
        <v>229</v>
      </c>
      <c r="G498" s="16" t="s">
        <v>217</v>
      </c>
      <c r="H498" s="16" t="s">
        <v>85</v>
      </c>
      <c r="I498" s="16" t="s">
        <v>40</v>
      </c>
      <c r="J498" s="16" t="s">
        <v>79</v>
      </c>
      <c r="K498" s="16" t="s">
        <v>80</v>
      </c>
      <c r="L498" s="15">
        <v>-395999.99998999992</v>
      </c>
      <c r="M498" s="15">
        <v>0</v>
      </c>
      <c r="N498" s="15">
        <v>-196000</v>
      </c>
      <c r="O498" s="15">
        <v>-199999.99998999992</v>
      </c>
      <c r="P498" s="15">
        <v>-199999.99998999992</v>
      </c>
      <c r="Q498" s="15">
        <f t="shared" si="32"/>
        <v>-199999.99998999992</v>
      </c>
      <c r="R498" s="36">
        <v>0</v>
      </c>
      <c r="S498" s="15">
        <f t="shared" si="33"/>
        <v>-199999.99998999992</v>
      </c>
      <c r="T498" s="16"/>
      <c r="U498" s="16"/>
    </row>
    <row r="499" spans="1:21" x14ac:dyDescent="0.25">
      <c r="A499" s="16" t="s">
        <v>37</v>
      </c>
      <c r="B499" s="16" t="s">
        <v>259</v>
      </c>
      <c r="C499" s="16" t="s">
        <v>260</v>
      </c>
      <c r="D499" s="16" t="s">
        <v>214</v>
      </c>
      <c r="E499" s="16" t="s">
        <v>218</v>
      </c>
      <c r="F499" s="16" t="s">
        <v>229</v>
      </c>
      <c r="G499" s="16" t="s">
        <v>217</v>
      </c>
      <c r="H499" s="16" t="s">
        <v>85</v>
      </c>
      <c r="I499" s="16" t="s">
        <v>40</v>
      </c>
      <c r="J499" s="16" t="s">
        <v>79</v>
      </c>
      <c r="K499" s="16" t="s">
        <v>80</v>
      </c>
      <c r="L499" s="15">
        <v>-1193000.0001999999</v>
      </c>
      <c r="M499" s="15">
        <v>0</v>
      </c>
      <c r="N499" s="15">
        <v>-1193000.0001958399</v>
      </c>
      <c r="O499" s="15">
        <v>-4.1598686948418617E-6</v>
      </c>
      <c r="P499" s="15">
        <v>-4.1598686948418617E-6</v>
      </c>
      <c r="Q499" s="15">
        <f t="shared" si="32"/>
        <v>-4.1598686948418617E-6</v>
      </c>
      <c r="R499" s="36">
        <v>0</v>
      </c>
      <c r="S499" s="15">
        <f t="shared" si="33"/>
        <v>-4.1598686948418617E-6</v>
      </c>
      <c r="T499" s="16"/>
      <c r="U499" s="16"/>
    </row>
    <row r="500" spans="1:21" x14ac:dyDescent="0.25">
      <c r="A500" s="16" t="s">
        <v>37</v>
      </c>
      <c r="B500" s="16" t="s">
        <v>269</v>
      </c>
      <c r="C500" s="16" t="s">
        <v>270</v>
      </c>
      <c r="D500" s="16" t="s">
        <v>214</v>
      </c>
      <c r="E500" s="16" t="s">
        <v>218</v>
      </c>
      <c r="F500" s="16" t="s">
        <v>230</v>
      </c>
      <c r="G500" s="16" t="s">
        <v>231</v>
      </c>
      <c r="H500" s="16" t="s">
        <v>85</v>
      </c>
      <c r="I500" s="16" t="s">
        <v>40</v>
      </c>
      <c r="J500" s="16" t="s">
        <v>38</v>
      </c>
      <c r="K500" s="16" t="s">
        <v>293</v>
      </c>
      <c r="L500" s="15">
        <v>-12744.789144154589</v>
      </c>
      <c r="M500" s="15">
        <v>0</v>
      </c>
      <c r="N500" s="15">
        <v>-3910.6746915676777</v>
      </c>
      <c r="O500" s="15">
        <v>-8834.1144525869113</v>
      </c>
      <c r="P500" s="15">
        <v>-8834.1144525869113</v>
      </c>
      <c r="Q500" s="15">
        <f>P500+8834</f>
        <v>-0.11445258691128402</v>
      </c>
      <c r="R500" s="36">
        <v>0</v>
      </c>
      <c r="S500" s="15">
        <f t="shared" si="33"/>
        <v>-0.11445258691128402</v>
      </c>
      <c r="T500" s="16"/>
      <c r="U500" s="16"/>
    </row>
    <row r="501" spans="1:21" x14ac:dyDescent="0.25">
      <c r="A501" s="16" t="s">
        <v>37</v>
      </c>
      <c r="B501" s="16" t="s">
        <v>257</v>
      </c>
      <c r="C501" s="16" t="s">
        <v>258</v>
      </c>
      <c r="D501" s="16" t="s">
        <v>214</v>
      </c>
      <c r="E501" s="16" t="s">
        <v>218</v>
      </c>
      <c r="F501" s="16" t="s">
        <v>230</v>
      </c>
      <c r="G501" s="16" t="s">
        <v>231</v>
      </c>
      <c r="H501" s="16" t="s">
        <v>85</v>
      </c>
      <c r="I501" s="16" t="s">
        <v>40</v>
      </c>
      <c r="J501" s="16" t="s">
        <v>38</v>
      </c>
      <c r="K501" s="16" t="s">
        <v>293</v>
      </c>
      <c r="L501" s="15">
        <v>-5100466.1356400242</v>
      </c>
      <c r="M501" s="15">
        <v>-14955.6</v>
      </c>
      <c r="N501" s="15">
        <v>-5094875.981673494</v>
      </c>
      <c r="O501" s="15">
        <v>-5590.1539665297605</v>
      </c>
      <c r="P501" s="15">
        <v>-5590.1539665297605</v>
      </c>
      <c r="Q501" s="15">
        <f>P501+P500</f>
        <v>-14424.268419116672</v>
      </c>
      <c r="R501" s="36">
        <v>0</v>
      </c>
      <c r="S501" s="15">
        <f t="shared" si="33"/>
        <v>-14424.268419116672</v>
      </c>
      <c r="T501" s="16"/>
      <c r="U501" s="26"/>
    </row>
    <row r="502" spans="1:21" x14ac:dyDescent="0.25">
      <c r="A502" s="16" t="s">
        <v>37</v>
      </c>
      <c r="B502" s="16" t="s">
        <v>257</v>
      </c>
      <c r="C502" s="16" t="s">
        <v>258</v>
      </c>
      <c r="D502" s="16" t="s">
        <v>214</v>
      </c>
      <c r="E502" s="16" t="s">
        <v>218</v>
      </c>
      <c r="F502" s="16" t="s">
        <v>230</v>
      </c>
      <c r="G502" s="16" t="s">
        <v>231</v>
      </c>
      <c r="H502" s="16" t="s">
        <v>85</v>
      </c>
      <c r="I502" s="16" t="s">
        <v>40</v>
      </c>
      <c r="J502" s="16" t="s">
        <v>296</v>
      </c>
      <c r="K502" s="16" t="s">
        <v>297</v>
      </c>
      <c r="L502" s="15">
        <v>-86813.599935200007</v>
      </c>
      <c r="M502" s="15">
        <v>0</v>
      </c>
      <c r="N502" s="15">
        <v>-64897.9928</v>
      </c>
      <c r="O502" s="15">
        <v>-21915.607135200011</v>
      </c>
      <c r="P502" s="15">
        <v>-21915.607135200011</v>
      </c>
      <c r="Q502" s="15">
        <f t="shared" si="32"/>
        <v>-21915.607135200011</v>
      </c>
      <c r="R502" s="36">
        <v>0</v>
      </c>
      <c r="S502" s="15">
        <f t="shared" si="33"/>
        <v>-21915.607135200011</v>
      </c>
      <c r="T502" s="16"/>
      <c r="U502" s="26"/>
    </row>
    <row r="503" spans="1:21" x14ac:dyDescent="0.25">
      <c r="A503" s="16" t="s">
        <v>37</v>
      </c>
      <c r="B503" s="16" t="s">
        <v>257</v>
      </c>
      <c r="C503" s="16" t="s">
        <v>258</v>
      </c>
      <c r="D503" s="16" t="s">
        <v>214</v>
      </c>
      <c r="E503" s="16" t="s">
        <v>218</v>
      </c>
      <c r="F503" s="16" t="s">
        <v>230</v>
      </c>
      <c r="G503" s="16" t="s">
        <v>231</v>
      </c>
      <c r="H503" s="16" t="s">
        <v>85</v>
      </c>
      <c r="I503" s="16" t="s">
        <v>40</v>
      </c>
      <c r="J503" s="16" t="s">
        <v>298</v>
      </c>
      <c r="K503" s="16" t="s">
        <v>299</v>
      </c>
      <c r="L503" s="15">
        <v>-78.741935483870961</v>
      </c>
      <c r="M503" s="15">
        <v>0</v>
      </c>
      <c r="N503" s="15">
        <v>-28.789178474800003</v>
      </c>
      <c r="O503" s="15">
        <v>-49.95275700907095</v>
      </c>
      <c r="P503" s="15">
        <v>-49.95275700907095</v>
      </c>
      <c r="Q503" s="15">
        <f t="shared" si="32"/>
        <v>-49.95275700907095</v>
      </c>
      <c r="R503" s="36">
        <v>0</v>
      </c>
      <c r="S503" s="15">
        <f t="shared" si="33"/>
        <v>-49.95275700907095</v>
      </c>
      <c r="T503" s="16"/>
      <c r="U503" s="26"/>
    </row>
    <row r="504" spans="1:21" x14ac:dyDescent="0.25">
      <c r="A504" s="16" t="s">
        <v>37</v>
      </c>
      <c r="B504" s="16" t="s">
        <v>269</v>
      </c>
      <c r="C504" s="16" t="s">
        <v>270</v>
      </c>
      <c r="D504" s="16" t="s">
        <v>214</v>
      </c>
      <c r="E504" s="16" t="s">
        <v>218</v>
      </c>
      <c r="F504" s="16" t="s">
        <v>230</v>
      </c>
      <c r="G504" s="16" t="s">
        <v>231</v>
      </c>
      <c r="H504" s="16" t="s">
        <v>85</v>
      </c>
      <c r="I504" s="16" t="s">
        <v>40</v>
      </c>
      <c r="J504" s="16" t="s">
        <v>62</v>
      </c>
      <c r="K504" s="16" t="s">
        <v>63</v>
      </c>
      <c r="L504" s="15">
        <v>-1669.9139999999995</v>
      </c>
      <c r="M504" s="15">
        <v>-1669.9139999999995</v>
      </c>
      <c r="N504" s="15">
        <v>-1669.9099977400056</v>
      </c>
      <c r="O504" s="15">
        <v>-4.0022599940527925E-3</v>
      </c>
      <c r="P504" s="15">
        <v>0</v>
      </c>
      <c r="Q504" s="15">
        <f t="shared" si="32"/>
        <v>0</v>
      </c>
      <c r="R504" s="36">
        <v>0</v>
      </c>
      <c r="S504" s="15">
        <f t="shared" si="33"/>
        <v>0</v>
      </c>
      <c r="T504" s="16"/>
      <c r="U504" s="16"/>
    </row>
    <row r="505" spans="1:21" x14ac:dyDescent="0.25">
      <c r="A505" s="16" t="s">
        <v>37</v>
      </c>
      <c r="B505" s="16" t="s">
        <v>259</v>
      </c>
      <c r="C505" s="16" t="s">
        <v>260</v>
      </c>
      <c r="D505" s="16" t="s">
        <v>214</v>
      </c>
      <c r="E505" s="16" t="s">
        <v>218</v>
      </c>
      <c r="F505" s="16" t="s">
        <v>232</v>
      </c>
      <c r="G505" s="16" t="s">
        <v>233</v>
      </c>
      <c r="H505" s="16" t="s">
        <v>85</v>
      </c>
      <c r="I505" s="16" t="s">
        <v>40</v>
      </c>
      <c r="J505" s="16" t="s">
        <v>38</v>
      </c>
      <c r="K505" s="16" t="s">
        <v>293</v>
      </c>
      <c r="L505" s="15">
        <v>-24447993.793295871</v>
      </c>
      <c r="M505" s="15">
        <v>0</v>
      </c>
      <c r="N505" s="15">
        <v>-23342987.15313419</v>
      </c>
      <c r="O505" s="15">
        <v>-1105006.6401616763</v>
      </c>
      <c r="P505" s="15">
        <v>-1105006.6401616763</v>
      </c>
      <c r="Q505" s="15">
        <f t="shared" ref="Q505" si="35">P505</f>
        <v>-1105006.6401616763</v>
      </c>
      <c r="R505" s="36">
        <v>0</v>
      </c>
      <c r="S505" s="15">
        <f t="shared" si="33"/>
        <v>-1105006.6401616763</v>
      </c>
      <c r="T505" s="16"/>
      <c r="U505" s="16"/>
    </row>
    <row r="506" spans="1:21" x14ac:dyDescent="0.25">
      <c r="A506" s="16" t="s">
        <v>37</v>
      </c>
      <c r="B506" s="16" t="s">
        <v>269</v>
      </c>
      <c r="C506" s="16" t="s">
        <v>270</v>
      </c>
      <c r="D506" s="16" t="s">
        <v>214</v>
      </c>
      <c r="E506" s="16" t="s">
        <v>218</v>
      </c>
      <c r="F506" s="16" t="s">
        <v>232</v>
      </c>
      <c r="G506" s="16" t="s">
        <v>233</v>
      </c>
      <c r="H506" s="16" t="s">
        <v>85</v>
      </c>
      <c r="I506" s="16" t="s">
        <v>40</v>
      </c>
      <c r="J506" s="16" t="s">
        <v>38</v>
      </c>
      <c r="K506" s="16" t="s">
        <v>293</v>
      </c>
      <c r="L506" s="15">
        <v>-30705.219013653092</v>
      </c>
      <c r="M506" s="15">
        <v>0</v>
      </c>
      <c r="N506" s="15">
        <v>-6882.1043698767435</v>
      </c>
      <c r="O506" s="15">
        <v>-23823.114643776353</v>
      </c>
      <c r="P506" s="15">
        <v>-23823.114643776353</v>
      </c>
      <c r="Q506" s="15">
        <f>P506+23823</f>
        <v>-0.11464377635275014</v>
      </c>
      <c r="R506" s="36">
        <v>0</v>
      </c>
      <c r="S506" s="15">
        <f t="shared" si="33"/>
        <v>-0.11464377635275014</v>
      </c>
      <c r="T506" s="16"/>
      <c r="U506" s="16"/>
    </row>
    <row r="507" spans="1:21" x14ac:dyDescent="0.25">
      <c r="A507" s="16" t="s">
        <v>37</v>
      </c>
      <c r="B507" s="16" t="s">
        <v>257</v>
      </c>
      <c r="C507" s="16" t="s">
        <v>258</v>
      </c>
      <c r="D507" s="16" t="s">
        <v>214</v>
      </c>
      <c r="E507" s="16" t="s">
        <v>218</v>
      </c>
      <c r="F507" s="16" t="s">
        <v>232</v>
      </c>
      <c r="G507" s="16" t="s">
        <v>233</v>
      </c>
      <c r="H507" s="16" t="s">
        <v>85</v>
      </c>
      <c r="I507" s="16" t="s">
        <v>40</v>
      </c>
      <c r="J507" s="16" t="s">
        <v>38</v>
      </c>
      <c r="K507" s="16" t="s">
        <v>293</v>
      </c>
      <c r="L507" s="15">
        <v>-136859.45761489525</v>
      </c>
      <c r="M507" s="15">
        <v>-50552.4</v>
      </c>
      <c r="N507" s="15">
        <v>-37827.462656574193</v>
      </c>
      <c r="O507" s="15">
        <v>-99031.99495832104</v>
      </c>
      <c r="P507" s="15">
        <f>O507</f>
        <v>-99031.99495832104</v>
      </c>
      <c r="Q507" s="15">
        <f>P507+P506</f>
        <v>-122855.10960209739</v>
      </c>
      <c r="R507" s="36">
        <v>0</v>
      </c>
      <c r="S507" s="15">
        <f t="shared" si="33"/>
        <v>-122855.10960209739</v>
      </c>
      <c r="T507" s="16"/>
      <c r="U507" s="26"/>
    </row>
    <row r="508" spans="1:21" x14ac:dyDescent="0.25">
      <c r="A508" s="16" t="s">
        <v>37</v>
      </c>
      <c r="B508" s="16" t="s">
        <v>257</v>
      </c>
      <c r="C508" s="16" t="s">
        <v>258</v>
      </c>
      <c r="D508" s="16" t="s">
        <v>214</v>
      </c>
      <c r="E508" s="16" t="s">
        <v>218</v>
      </c>
      <c r="F508" s="16" t="s">
        <v>232</v>
      </c>
      <c r="G508" s="16" t="s">
        <v>233</v>
      </c>
      <c r="H508" s="16" t="s">
        <v>85</v>
      </c>
      <c r="I508" s="16" t="s">
        <v>40</v>
      </c>
      <c r="J508" s="16" t="s">
        <v>234</v>
      </c>
      <c r="K508" s="16" t="s">
        <v>235</v>
      </c>
      <c r="L508" s="15">
        <v>-4506619.9999900004</v>
      </c>
      <c r="M508" s="15">
        <v>0</v>
      </c>
      <c r="N508" s="15">
        <v>-4506620.0000000009</v>
      </c>
      <c r="O508" s="15">
        <v>1.0001007467508316E-5</v>
      </c>
      <c r="P508" s="15">
        <v>0</v>
      </c>
      <c r="Q508" s="15">
        <f t="shared" si="32"/>
        <v>0</v>
      </c>
      <c r="R508" s="36">
        <v>0</v>
      </c>
      <c r="S508" s="15">
        <f t="shared" si="33"/>
        <v>0</v>
      </c>
      <c r="T508" s="16"/>
      <c r="U508" s="26"/>
    </row>
    <row r="509" spans="1:21" x14ac:dyDescent="0.25">
      <c r="A509" s="16" t="s">
        <v>37</v>
      </c>
      <c r="B509" s="16" t="s">
        <v>257</v>
      </c>
      <c r="C509" s="16" t="s">
        <v>258</v>
      </c>
      <c r="D509" s="16" t="s">
        <v>214</v>
      </c>
      <c r="E509" s="16" t="s">
        <v>218</v>
      </c>
      <c r="F509" s="16" t="s">
        <v>232</v>
      </c>
      <c r="G509" s="16" t="s">
        <v>233</v>
      </c>
      <c r="H509" s="16" t="s">
        <v>85</v>
      </c>
      <c r="I509" s="16" t="s">
        <v>40</v>
      </c>
      <c r="J509" s="16" t="s">
        <v>236</v>
      </c>
      <c r="K509" s="16" t="s">
        <v>237</v>
      </c>
      <c r="L509" s="15">
        <v>-700000</v>
      </c>
      <c r="M509" s="15">
        <v>0</v>
      </c>
      <c r="N509" s="15">
        <v>-153132.4</v>
      </c>
      <c r="O509" s="15">
        <v>-546867.6</v>
      </c>
      <c r="P509" s="15">
        <v>-546867.6</v>
      </c>
      <c r="Q509" s="15">
        <f t="shared" si="32"/>
        <v>-546867.6</v>
      </c>
      <c r="R509" s="36">
        <v>0</v>
      </c>
      <c r="S509" s="15">
        <f t="shared" si="33"/>
        <v>-546867.6</v>
      </c>
      <c r="T509" s="16"/>
      <c r="U509" s="26"/>
    </row>
    <row r="510" spans="1:21" x14ac:dyDescent="0.25">
      <c r="A510" s="16" t="s">
        <v>37</v>
      </c>
      <c r="B510" s="16" t="s">
        <v>257</v>
      </c>
      <c r="C510" s="16" t="s">
        <v>258</v>
      </c>
      <c r="D510" s="16" t="s">
        <v>214</v>
      </c>
      <c r="E510" s="16" t="s">
        <v>218</v>
      </c>
      <c r="F510" s="16" t="s">
        <v>232</v>
      </c>
      <c r="G510" s="16" t="s">
        <v>233</v>
      </c>
      <c r="H510" s="16" t="s">
        <v>85</v>
      </c>
      <c r="I510" s="16" t="s">
        <v>40</v>
      </c>
      <c r="J510" s="16" t="s">
        <v>296</v>
      </c>
      <c r="K510" s="16" t="s">
        <v>297</v>
      </c>
      <c r="L510" s="15">
        <v>-54258.499959500012</v>
      </c>
      <c r="M510" s="15">
        <v>0</v>
      </c>
      <c r="N510" s="15">
        <v>-40561.245499999997</v>
      </c>
      <c r="O510" s="15">
        <v>-13697.254459500014</v>
      </c>
      <c r="P510" s="15">
        <v>-13697.254459500014</v>
      </c>
      <c r="Q510" s="15">
        <f t="shared" si="32"/>
        <v>-13697.254459500014</v>
      </c>
      <c r="R510" s="36">
        <v>0</v>
      </c>
      <c r="S510" s="15">
        <f t="shared" si="33"/>
        <v>-13697.254459500014</v>
      </c>
      <c r="T510" s="16"/>
      <c r="U510" s="26"/>
    </row>
    <row r="511" spans="1:21" x14ac:dyDescent="0.25">
      <c r="A511" s="16" t="s">
        <v>37</v>
      </c>
      <c r="B511" s="16" t="s">
        <v>259</v>
      </c>
      <c r="C511" s="16" t="s">
        <v>260</v>
      </c>
      <c r="D511" s="16" t="s">
        <v>214</v>
      </c>
      <c r="E511" s="16" t="s">
        <v>218</v>
      </c>
      <c r="F511" s="16" t="s">
        <v>232</v>
      </c>
      <c r="G511" s="16" t="s">
        <v>233</v>
      </c>
      <c r="H511" s="16" t="s">
        <v>85</v>
      </c>
      <c r="I511" s="16" t="s">
        <v>40</v>
      </c>
      <c r="J511" s="16" t="s">
        <v>124</v>
      </c>
      <c r="K511" s="16" t="s">
        <v>125</v>
      </c>
      <c r="L511" s="15">
        <v>-14011.732042559999</v>
      </c>
      <c r="M511" s="15">
        <v>0</v>
      </c>
      <c r="N511" s="15">
        <v>-13716.133920533637</v>
      </c>
      <c r="O511" s="15">
        <v>-295.59812202636112</v>
      </c>
      <c r="P511" s="15">
        <v>0</v>
      </c>
      <c r="Q511" s="15">
        <f t="shared" si="32"/>
        <v>0</v>
      </c>
      <c r="R511" s="36">
        <v>0</v>
      </c>
      <c r="S511" s="15">
        <f t="shared" si="33"/>
        <v>0</v>
      </c>
      <c r="T511" s="16"/>
      <c r="U511" s="16"/>
    </row>
    <row r="512" spans="1:21" x14ac:dyDescent="0.25">
      <c r="A512" s="16" t="s">
        <v>37</v>
      </c>
      <c r="B512" s="16" t="s">
        <v>257</v>
      </c>
      <c r="C512" s="16" t="s">
        <v>258</v>
      </c>
      <c r="D512" s="16" t="s">
        <v>214</v>
      </c>
      <c r="E512" s="16" t="s">
        <v>218</v>
      </c>
      <c r="F512" s="16" t="s">
        <v>232</v>
      </c>
      <c r="G512" s="16" t="s">
        <v>233</v>
      </c>
      <c r="H512" s="16" t="s">
        <v>85</v>
      </c>
      <c r="I512" s="16" t="s">
        <v>40</v>
      </c>
      <c r="J512" s="16" t="s">
        <v>298</v>
      </c>
      <c r="K512" s="16" t="s">
        <v>299</v>
      </c>
      <c r="L512" s="15">
        <v>-78.741935483870961</v>
      </c>
      <c r="M512" s="15">
        <v>0</v>
      </c>
      <c r="N512" s="15">
        <v>-28.9645048348</v>
      </c>
      <c r="O512" s="15">
        <v>-49.777430649070965</v>
      </c>
      <c r="P512" s="15">
        <v>-49.777430649070965</v>
      </c>
      <c r="Q512" s="15">
        <f t="shared" si="32"/>
        <v>-49.777430649070965</v>
      </c>
      <c r="R512" s="36">
        <v>0</v>
      </c>
      <c r="S512" s="15">
        <f t="shared" si="33"/>
        <v>-49.777430649070965</v>
      </c>
      <c r="T512" s="16"/>
      <c r="U512" s="26"/>
    </row>
    <row r="513" spans="1:21" x14ac:dyDescent="0.25">
      <c r="A513" s="16" t="s">
        <v>37</v>
      </c>
      <c r="B513" s="16" t="s">
        <v>257</v>
      </c>
      <c r="C513" s="16" t="s">
        <v>258</v>
      </c>
      <c r="D513" s="16" t="s">
        <v>214</v>
      </c>
      <c r="E513" s="16" t="s">
        <v>218</v>
      </c>
      <c r="F513" s="16" t="s">
        <v>232</v>
      </c>
      <c r="G513" s="16" t="s">
        <v>233</v>
      </c>
      <c r="H513" s="16" t="s">
        <v>85</v>
      </c>
      <c r="I513" s="16" t="s">
        <v>40</v>
      </c>
      <c r="J513" s="16" t="s">
        <v>304</v>
      </c>
      <c r="K513" s="16" t="s">
        <v>305</v>
      </c>
      <c r="L513" s="15">
        <v>-3090923.16</v>
      </c>
      <c r="M513" s="15">
        <v>-3090923.16</v>
      </c>
      <c r="N513" s="15">
        <v>-2808077.7198999999</v>
      </c>
      <c r="O513" s="15">
        <v>-282845.44010000024</v>
      </c>
      <c r="P513" s="15">
        <f>O513</f>
        <v>-282845.44010000024</v>
      </c>
      <c r="Q513" s="15">
        <f t="shared" si="32"/>
        <v>-282845.44010000024</v>
      </c>
      <c r="R513" s="36">
        <v>0</v>
      </c>
      <c r="S513" s="15">
        <f t="shared" si="33"/>
        <v>-282845.44010000024</v>
      </c>
      <c r="T513" s="16"/>
      <c r="U513" s="26"/>
    </row>
    <row r="514" spans="1:21" x14ac:dyDescent="0.25">
      <c r="A514" s="16" t="s">
        <v>37</v>
      </c>
      <c r="B514" s="16" t="s">
        <v>269</v>
      </c>
      <c r="C514" s="16" t="s">
        <v>270</v>
      </c>
      <c r="D514" s="16" t="s">
        <v>214</v>
      </c>
      <c r="E514" s="16" t="s">
        <v>218</v>
      </c>
      <c r="F514" s="16" t="s">
        <v>232</v>
      </c>
      <c r="G514" s="16" t="s">
        <v>233</v>
      </c>
      <c r="H514" s="16" t="s">
        <v>85</v>
      </c>
      <c r="I514" s="16" t="s">
        <v>40</v>
      </c>
      <c r="J514" s="16" t="s">
        <v>62</v>
      </c>
      <c r="K514" s="16" t="s">
        <v>63</v>
      </c>
      <c r="L514" s="15">
        <v>-2297.9789999999998</v>
      </c>
      <c r="M514" s="15">
        <v>-2297.9789999999998</v>
      </c>
      <c r="N514" s="15">
        <v>-2297.9899968899849</v>
      </c>
      <c r="O514" s="15">
        <v>1.0996889985108282E-2</v>
      </c>
      <c r="P514" s="15">
        <v>0</v>
      </c>
      <c r="Q514" s="15">
        <f t="shared" si="32"/>
        <v>0</v>
      </c>
      <c r="R514" s="36">
        <v>0</v>
      </c>
      <c r="S514" s="15">
        <f t="shared" si="33"/>
        <v>0</v>
      </c>
      <c r="T514" s="16"/>
      <c r="U514" s="16"/>
    </row>
    <row r="515" spans="1:21" x14ac:dyDescent="0.25">
      <c r="A515" s="16" t="s">
        <v>37</v>
      </c>
      <c r="B515" s="16" t="s">
        <v>269</v>
      </c>
      <c r="C515" s="16" t="s">
        <v>270</v>
      </c>
      <c r="D515" s="16" t="s">
        <v>214</v>
      </c>
      <c r="E515" s="16" t="s">
        <v>218</v>
      </c>
      <c r="F515" s="16" t="s">
        <v>238</v>
      </c>
      <c r="G515" s="16" t="s">
        <v>239</v>
      </c>
      <c r="H515" s="16" t="s">
        <v>85</v>
      </c>
      <c r="I515" s="16" t="s">
        <v>40</v>
      </c>
      <c r="J515" s="16" t="s">
        <v>38</v>
      </c>
      <c r="K515" s="16" t="s">
        <v>293</v>
      </c>
      <c r="L515" s="15">
        <v>-14033.706608860088</v>
      </c>
      <c r="M515" s="15">
        <v>0</v>
      </c>
      <c r="N515" s="15">
        <v>-6677.1781851657734</v>
      </c>
      <c r="O515" s="15">
        <v>-7356.5284236943126</v>
      </c>
      <c r="P515" s="15">
        <v>-7356.5284236943126</v>
      </c>
      <c r="Q515" s="15">
        <f>P515+7357</f>
        <v>0.47157630568744935</v>
      </c>
      <c r="R515" s="36">
        <v>0</v>
      </c>
      <c r="S515" s="15">
        <f t="shared" si="33"/>
        <v>0.47157630568744935</v>
      </c>
      <c r="T515" s="16"/>
      <c r="U515" s="16"/>
    </row>
    <row r="516" spans="1:21" x14ac:dyDescent="0.25">
      <c r="A516" s="16" t="s">
        <v>37</v>
      </c>
      <c r="B516" s="16" t="s">
        <v>257</v>
      </c>
      <c r="C516" s="16" t="s">
        <v>258</v>
      </c>
      <c r="D516" s="16" t="s">
        <v>214</v>
      </c>
      <c r="E516" s="16" t="s">
        <v>218</v>
      </c>
      <c r="F516" s="16" t="s">
        <v>238</v>
      </c>
      <c r="G516" s="16" t="s">
        <v>239</v>
      </c>
      <c r="H516" s="16" t="s">
        <v>85</v>
      </c>
      <c r="I516" s="16" t="s">
        <v>40</v>
      </c>
      <c r="J516" s="16" t="s">
        <v>38</v>
      </c>
      <c r="K516" s="16" t="s">
        <v>293</v>
      </c>
      <c r="L516" s="15">
        <v>-133684.56495063478</v>
      </c>
      <c r="M516" s="15">
        <v>-44619.6</v>
      </c>
      <c r="N516" s="15">
        <v>-138395.71812751418</v>
      </c>
      <c r="O516" s="15">
        <v>4711.1531768794157</v>
      </c>
      <c r="P516" s="15">
        <f>O516</f>
        <v>4711.1531768794157</v>
      </c>
      <c r="Q516" s="15">
        <f>P516+P515</f>
        <v>-2645.3752468148969</v>
      </c>
      <c r="R516" s="36">
        <v>0</v>
      </c>
      <c r="S516" s="15">
        <f t="shared" si="33"/>
        <v>-2645.3752468148969</v>
      </c>
      <c r="T516" s="16"/>
      <c r="U516" s="26"/>
    </row>
    <row r="517" spans="1:21" x14ac:dyDescent="0.25">
      <c r="A517" s="16" t="s">
        <v>37</v>
      </c>
      <c r="B517" s="16" t="s">
        <v>257</v>
      </c>
      <c r="C517" s="16" t="s">
        <v>258</v>
      </c>
      <c r="D517" s="16" t="s">
        <v>214</v>
      </c>
      <c r="E517" s="16" t="s">
        <v>218</v>
      </c>
      <c r="F517" s="16" t="s">
        <v>238</v>
      </c>
      <c r="G517" s="16" t="s">
        <v>239</v>
      </c>
      <c r="H517" s="16" t="s">
        <v>85</v>
      </c>
      <c r="I517" s="16" t="s">
        <v>40</v>
      </c>
      <c r="J517" s="16" t="s">
        <v>298</v>
      </c>
      <c r="K517" s="16" t="s">
        <v>299</v>
      </c>
      <c r="L517" s="15">
        <v>-78.741935483870961</v>
      </c>
      <c r="M517" s="15">
        <v>0</v>
      </c>
      <c r="N517" s="15">
        <v>-24.639787954799999</v>
      </c>
      <c r="O517" s="15">
        <v>-54.102147529070962</v>
      </c>
      <c r="P517" s="15">
        <v>-54.102147529070962</v>
      </c>
      <c r="Q517" s="15">
        <f t="shared" si="32"/>
        <v>-54.102147529070962</v>
      </c>
      <c r="R517" s="36">
        <v>0</v>
      </c>
      <c r="S517" s="15">
        <f t="shared" si="33"/>
        <v>-54.102147529070962</v>
      </c>
      <c r="T517" s="16"/>
      <c r="U517" s="26"/>
    </row>
    <row r="518" spans="1:21" x14ac:dyDescent="0.25">
      <c r="A518" s="16" t="s">
        <v>37</v>
      </c>
      <c r="B518" s="16" t="s">
        <v>269</v>
      </c>
      <c r="C518" s="16" t="s">
        <v>270</v>
      </c>
      <c r="D518" s="16" t="s">
        <v>214</v>
      </c>
      <c r="E518" s="16" t="s">
        <v>218</v>
      </c>
      <c r="F518" s="16" t="s">
        <v>238</v>
      </c>
      <c r="G518" s="16" t="s">
        <v>239</v>
      </c>
      <c r="H518" s="16" t="s">
        <v>85</v>
      </c>
      <c r="I518" s="16" t="s">
        <v>40</v>
      </c>
      <c r="J518" s="16" t="s">
        <v>62</v>
      </c>
      <c r="K518" s="16" t="s">
        <v>63</v>
      </c>
      <c r="L518" s="15">
        <v>-1706.8589999999999</v>
      </c>
      <c r="M518" s="15">
        <v>-1706.8589999999999</v>
      </c>
      <c r="N518" s="15">
        <v>-1706.8599976899984</v>
      </c>
      <c r="O518" s="15">
        <v>9.9768999848492967E-4</v>
      </c>
      <c r="P518" s="15">
        <v>0</v>
      </c>
      <c r="Q518" s="15">
        <f t="shared" si="32"/>
        <v>0</v>
      </c>
      <c r="R518" s="36">
        <v>0</v>
      </c>
      <c r="S518" s="15">
        <f t="shared" si="33"/>
        <v>0</v>
      </c>
      <c r="T518" s="16"/>
      <c r="U518" s="16"/>
    </row>
    <row r="519" spans="1:21" x14ac:dyDescent="0.25">
      <c r="A519" s="16" t="s">
        <v>37</v>
      </c>
      <c r="B519" s="16" t="s">
        <v>259</v>
      </c>
      <c r="C519" s="16" t="s">
        <v>260</v>
      </c>
      <c r="D519" s="16" t="s">
        <v>214</v>
      </c>
      <c r="E519" s="16" t="s">
        <v>218</v>
      </c>
      <c r="F519" s="16" t="s">
        <v>240</v>
      </c>
      <c r="G519" s="16" t="s">
        <v>241</v>
      </c>
      <c r="H519" s="16" t="s">
        <v>85</v>
      </c>
      <c r="I519" s="16" t="s">
        <v>40</v>
      </c>
      <c r="J519" s="16" t="s">
        <v>38</v>
      </c>
      <c r="K519" s="16" t="s">
        <v>293</v>
      </c>
      <c r="L519" s="15">
        <v>-13090506.88347877</v>
      </c>
      <c r="M519" s="15">
        <v>0</v>
      </c>
      <c r="N519" s="15">
        <v>-13092916.718667392</v>
      </c>
      <c r="O519" s="15">
        <v>2409.8351886468008</v>
      </c>
      <c r="P519" s="15">
        <f>O519</f>
        <v>2409.8351886468008</v>
      </c>
      <c r="Q519" s="15">
        <f t="shared" ref="Q519" si="36">P519</f>
        <v>2409.8351886468008</v>
      </c>
      <c r="R519" s="36">
        <v>0</v>
      </c>
      <c r="S519" s="15">
        <f t="shared" si="33"/>
        <v>2409.8351886468008</v>
      </c>
      <c r="T519" s="16"/>
      <c r="U519" s="16"/>
    </row>
    <row r="520" spans="1:21" x14ac:dyDescent="0.25">
      <c r="A520" s="16" t="s">
        <v>37</v>
      </c>
      <c r="B520" s="16" t="s">
        <v>269</v>
      </c>
      <c r="C520" s="16" t="s">
        <v>270</v>
      </c>
      <c r="D520" s="16" t="s">
        <v>214</v>
      </c>
      <c r="E520" s="16" t="s">
        <v>218</v>
      </c>
      <c r="F520" s="16" t="s">
        <v>240</v>
      </c>
      <c r="G520" s="16" t="s">
        <v>241</v>
      </c>
      <c r="H520" s="16" t="s">
        <v>85</v>
      </c>
      <c r="I520" s="16" t="s">
        <v>40</v>
      </c>
      <c r="J520" s="16" t="s">
        <v>38</v>
      </c>
      <c r="K520" s="16" t="s">
        <v>293</v>
      </c>
      <c r="L520" s="15">
        <v>-88735.864445567277</v>
      </c>
      <c r="M520" s="15">
        <v>0</v>
      </c>
      <c r="N520" s="15">
        <v>-20475.541289037752</v>
      </c>
      <c r="O520" s="15">
        <v>-68260.323156529514</v>
      </c>
      <c r="P520" s="15">
        <v>-68260.323156529514</v>
      </c>
      <c r="Q520" s="15">
        <f>P520+68260</f>
        <v>-0.32315652951365337</v>
      </c>
      <c r="R520" s="36">
        <v>0</v>
      </c>
      <c r="S520" s="15">
        <f t="shared" si="33"/>
        <v>-0.32315652951365337</v>
      </c>
      <c r="T520" s="16"/>
      <c r="U520" s="16"/>
    </row>
    <row r="521" spans="1:21" x14ac:dyDescent="0.25">
      <c r="A521" s="16" t="s">
        <v>37</v>
      </c>
      <c r="B521" s="16" t="s">
        <v>257</v>
      </c>
      <c r="C521" s="16" t="s">
        <v>258</v>
      </c>
      <c r="D521" s="16" t="s">
        <v>214</v>
      </c>
      <c r="E521" s="16" t="s">
        <v>218</v>
      </c>
      <c r="F521" s="16" t="s">
        <v>240</v>
      </c>
      <c r="G521" s="16" t="s">
        <v>241</v>
      </c>
      <c r="H521" s="16" t="s">
        <v>85</v>
      </c>
      <c r="I521" s="16" t="s">
        <v>40</v>
      </c>
      <c r="J521" s="16" t="s">
        <v>38</v>
      </c>
      <c r="K521" s="16" t="s">
        <v>293</v>
      </c>
      <c r="L521" s="15">
        <v>-336607.88039521681</v>
      </c>
      <c r="M521" s="15">
        <v>-38439.599999999999</v>
      </c>
      <c r="N521" s="15">
        <v>-507511.85923715006</v>
      </c>
      <c r="O521" s="15">
        <v>170903.97884193313</v>
      </c>
      <c r="P521" s="15">
        <f>O521</f>
        <v>170903.97884193313</v>
      </c>
      <c r="Q521" s="15">
        <f>P521+P520-56203.39</f>
        <v>46440.265685403618</v>
      </c>
      <c r="R521" s="36">
        <v>0</v>
      </c>
      <c r="S521" s="15">
        <f t="shared" si="33"/>
        <v>46440.265685403618</v>
      </c>
      <c r="T521" s="16"/>
      <c r="U521" s="26"/>
    </row>
    <row r="522" spans="1:21" x14ac:dyDescent="0.25">
      <c r="A522" s="16" t="s">
        <v>37</v>
      </c>
      <c r="B522" s="16" t="s">
        <v>257</v>
      </c>
      <c r="C522" s="16" t="s">
        <v>258</v>
      </c>
      <c r="D522" s="16" t="s">
        <v>214</v>
      </c>
      <c r="E522" s="16" t="s">
        <v>218</v>
      </c>
      <c r="F522" s="16" t="s">
        <v>240</v>
      </c>
      <c r="G522" s="16" t="s">
        <v>241</v>
      </c>
      <c r="H522" s="16" t="s">
        <v>85</v>
      </c>
      <c r="I522" s="16" t="s">
        <v>40</v>
      </c>
      <c r="J522" s="16" t="s">
        <v>296</v>
      </c>
      <c r="K522" s="16" t="s">
        <v>297</v>
      </c>
      <c r="L522" s="15">
        <v>-835580.89937630005</v>
      </c>
      <c r="M522" s="15">
        <v>0</v>
      </c>
      <c r="N522" s="15">
        <v>-624643.18070000003</v>
      </c>
      <c r="O522" s="15">
        <v>-210937.71867630002</v>
      </c>
      <c r="P522" s="15">
        <v>-210937.71867630002</v>
      </c>
      <c r="Q522" s="15">
        <f t="shared" si="32"/>
        <v>-210937.71867630002</v>
      </c>
      <c r="R522" s="36">
        <v>0</v>
      </c>
      <c r="S522" s="15">
        <f t="shared" si="33"/>
        <v>-210937.71867630002</v>
      </c>
      <c r="T522" s="16"/>
      <c r="U522" s="26"/>
    </row>
    <row r="523" spans="1:21" x14ac:dyDescent="0.25">
      <c r="A523" s="16" t="s">
        <v>37</v>
      </c>
      <c r="B523" s="16" t="s">
        <v>259</v>
      </c>
      <c r="C523" s="16" t="s">
        <v>260</v>
      </c>
      <c r="D523" s="16" t="s">
        <v>214</v>
      </c>
      <c r="E523" s="16" t="s">
        <v>218</v>
      </c>
      <c r="F523" s="16" t="s">
        <v>240</v>
      </c>
      <c r="G523" s="16" t="s">
        <v>241</v>
      </c>
      <c r="H523" s="16" t="s">
        <v>85</v>
      </c>
      <c r="I523" s="16" t="s">
        <v>40</v>
      </c>
      <c r="J523" s="16" t="s">
        <v>124</v>
      </c>
      <c r="K523" s="16" t="s">
        <v>125</v>
      </c>
      <c r="L523" s="15">
        <v>-29971.459079519998</v>
      </c>
      <c r="M523" s="15">
        <v>0</v>
      </c>
      <c r="N523" s="15">
        <v>-24973.061045146875</v>
      </c>
      <c r="O523" s="15">
        <v>-4998.3980343731328</v>
      </c>
      <c r="P523" s="15">
        <v>0</v>
      </c>
      <c r="Q523" s="15">
        <f t="shared" si="32"/>
        <v>0</v>
      </c>
      <c r="R523" s="36">
        <v>0</v>
      </c>
      <c r="S523" s="15">
        <f t="shared" si="33"/>
        <v>0</v>
      </c>
      <c r="T523" s="16"/>
      <c r="U523" s="16"/>
    </row>
    <row r="524" spans="1:21" x14ac:dyDescent="0.25">
      <c r="A524" s="16" t="s">
        <v>37</v>
      </c>
      <c r="B524" s="16" t="s">
        <v>257</v>
      </c>
      <c r="C524" s="16" t="s">
        <v>258</v>
      </c>
      <c r="D524" s="16" t="s">
        <v>214</v>
      </c>
      <c r="E524" s="16" t="s">
        <v>218</v>
      </c>
      <c r="F524" s="16" t="s">
        <v>240</v>
      </c>
      <c r="G524" s="16" t="s">
        <v>241</v>
      </c>
      <c r="H524" s="16" t="s">
        <v>85</v>
      </c>
      <c r="I524" s="16" t="s">
        <v>40</v>
      </c>
      <c r="J524" s="16" t="s">
        <v>298</v>
      </c>
      <c r="K524" s="16" t="s">
        <v>299</v>
      </c>
      <c r="L524" s="15">
        <v>0</v>
      </c>
      <c r="M524" s="15">
        <v>0</v>
      </c>
      <c r="N524" s="15">
        <v>23.055416340000001</v>
      </c>
      <c r="O524" s="15">
        <v>-23.055416340000001</v>
      </c>
      <c r="P524" s="15">
        <f>O524</f>
        <v>-23.055416340000001</v>
      </c>
      <c r="Q524" s="15">
        <f>P524-R524-8.97</f>
        <v>-32.02541634</v>
      </c>
      <c r="R524" s="36">
        <v>0</v>
      </c>
      <c r="S524" s="15">
        <f t="shared" si="33"/>
        <v>-32.02541634</v>
      </c>
      <c r="T524" s="16"/>
      <c r="U524" s="26"/>
    </row>
    <row r="525" spans="1:21" x14ac:dyDescent="0.25">
      <c r="A525" s="16" t="s">
        <v>37</v>
      </c>
      <c r="B525" s="16" t="s">
        <v>259</v>
      </c>
      <c r="C525" s="16" t="s">
        <v>260</v>
      </c>
      <c r="D525" s="16" t="s">
        <v>214</v>
      </c>
      <c r="E525" s="16" t="s">
        <v>218</v>
      </c>
      <c r="F525" s="16" t="s">
        <v>240</v>
      </c>
      <c r="G525" s="16" t="s">
        <v>241</v>
      </c>
      <c r="H525" s="16" t="s">
        <v>85</v>
      </c>
      <c r="I525" s="16" t="s">
        <v>40</v>
      </c>
      <c r="J525" s="16" t="s">
        <v>287</v>
      </c>
      <c r="K525" s="16" t="s">
        <v>288</v>
      </c>
      <c r="L525" s="15">
        <v>0</v>
      </c>
      <c r="M525" s="15">
        <v>0</v>
      </c>
      <c r="N525" s="15">
        <v>-9.2000016593374312E-5</v>
      </c>
      <c r="O525" s="15">
        <v>9.2000016593374312E-5</v>
      </c>
      <c r="P525" s="15">
        <v>0</v>
      </c>
      <c r="Q525" s="15">
        <f t="shared" si="32"/>
        <v>0</v>
      </c>
      <c r="R525" s="36">
        <v>0</v>
      </c>
      <c r="S525" s="15">
        <f t="shared" si="33"/>
        <v>0</v>
      </c>
      <c r="T525" s="16"/>
      <c r="U525" s="16"/>
    </row>
    <row r="526" spans="1:21" x14ac:dyDescent="0.25">
      <c r="A526" s="16" t="s">
        <v>37</v>
      </c>
      <c r="B526" s="16" t="s">
        <v>269</v>
      </c>
      <c r="C526" s="16" t="s">
        <v>270</v>
      </c>
      <c r="D526" s="16" t="s">
        <v>214</v>
      </c>
      <c r="E526" s="16" t="s">
        <v>218</v>
      </c>
      <c r="F526" s="16" t="s">
        <v>240</v>
      </c>
      <c r="G526" s="16" t="s">
        <v>241</v>
      </c>
      <c r="H526" s="16" t="s">
        <v>85</v>
      </c>
      <c r="I526" s="16" t="s">
        <v>40</v>
      </c>
      <c r="J526" s="16" t="s">
        <v>62</v>
      </c>
      <c r="K526" s="16" t="s">
        <v>63</v>
      </c>
      <c r="L526" s="15">
        <v>-4418.6220000000012</v>
      </c>
      <c r="M526" s="15">
        <v>-4418.6220000000012</v>
      </c>
      <c r="N526" s="15">
        <v>-4418.6199940200022</v>
      </c>
      <c r="O526" s="15">
        <v>-2.00597999855745E-3</v>
      </c>
      <c r="P526" s="15">
        <v>0</v>
      </c>
      <c r="Q526" s="15">
        <f t="shared" si="32"/>
        <v>0</v>
      </c>
      <c r="R526" s="36">
        <v>0</v>
      </c>
      <c r="S526" s="15">
        <f t="shared" si="33"/>
        <v>0</v>
      </c>
      <c r="T526" s="16"/>
      <c r="U526" s="16"/>
    </row>
    <row r="527" spans="1:21" x14ac:dyDescent="0.25">
      <c r="A527" s="16" t="s">
        <v>37</v>
      </c>
      <c r="B527" s="16" t="s">
        <v>259</v>
      </c>
      <c r="C527" s="16" t="s">
        <v>260</v>
      </c>
      <c r="D527" s="16" t="s">
        <v>214</v>
      </c>
      <c r="E527" s="16" t="s">
        <v>218</v>
      </c>
      <c r="F527" s="16" t="s">
        <v>240</v>
      </c>
      <c r="G527" s="16" t="s">
        <v>241</v>
      </c>
      <c r="H527" s="16" t="s">
        <v>85</v>
      </c>
      <c r="I527" s="16" t="s">
        <v>40</v>
      </c>
      <c r="J527" s="16" t="s">
        <v>79</v>
      </c>
      <c r="K527" s="16" t="s">
        <v>80</v>
      </c>
      <c r="L527" s="15">
        <v>0</v>
      </c>
      <c r="M527" s="15">
        <v>0</v>
      </c>
      <c r="N527" s="15">
        <v>9.9999975645914674E-5</v>
      </c>
      <c r="O527" s="15">
        <v>-9.9999975645914674E-5</v>
      </c>
      <c r="P527" s="15">
        <v>0</v>
      </c>
      <c r="Q527" s="15">
        <f t="shared" ref="Q527:Q533" si="37">P527-R527</f>
        <v>0</v>
      </c>
      <c r="R527" s="36">
        <v>0</v>
      </c>
      <c r="S527" s="15">
        <f t="shared" ref="S527:S533" si="38">SUM(Q527:R527)</f>
        <v>0</v>
      </c>
      <c r="T527" s="16"/>
      <c r="U527" s="16"/>
    </row>
    <row r="528" spans="1:21" x14ac:dyDescent="0.25">
      <c r="A528" s="16" t="s">
        <v>37</v>
      </c>
      <c r="B528" s="16" t="s">
        <v>259</v>
      </c>
      <c r="C528" s="16" t="s">
        <v>260</v>
      </c>
      <c r="D528" s="16" t="s">
        <v>214</v>
      </c>
      <c r="E528" s="16" t="s">
        <v>218</v>
      </c>
      <c r="F528" s="16" t="s">
        <v>242</v>
      </c>
      <c r="G528" s="16" t="s">
        <v>243</v>
      </c>
      <c r="H528" s="16" t="s">
        <v>85</v>
      </c>
      <c r="I528" s="16" t="s">
        <v>40</v>
      </c>
      <c r="J528" s="16" t="s">
        <v>38</v>
      </c>
      <c r="K528" s="16" t="s">
        <v>293</v>
      </c>
      <c r="L528" s="15">
        <v>-2092538.0586509956</v>
      </c>
      <c r="M528" s="15">
        <v>0</v>
      </c>
      <c r="N528" s="15">
        <v>-2092585.951246741</v>
      </c>
      <c r="O528" s="15">
        <v>47.892595745623112</v>
      </c>
      <c r="P528" s="15">
        <f>O528</f>
        <v>47.892595745623112</v>
      </c>
      <c r="Q528" s="15">
        <f t="shared" si="37"/>
        <v>47.892595745623112</v>
      </c>
      <c r="R528" s="36">
        <v>0</v>
      </c>
      <c r="S528" s="15">
        <f t="shared" si="38"/>
        <v>47.892595745623112</v>
      </c>
      <c r="T528" s="16"/>
      <c r="U528" s="16"/>
    </row>
    <row r="529" spans="1:21" x14ac:dyDescent="0.25">
      <c r="A529" s="16" t="s">
        <v>37</v>
      </c>
      <c r="B529" s="16" t="s">
        <v>269</v>
      </c>
      <c r="C529" s="16" t="s">
        <v>270</v>
      </c>
      <c r="D529" s="16" t="s">
        <v>214</v>
      </c>
      <c r="E529" s="16" t="s">
        <v>218</v>
      </c>
      <c r="F529" s="16" t="s">
        <v>242</v>
      </c>
      <c r="G529" s="16" t="s">
        <v>243</v>
      </c>
      <c r="H529" s="16" t="s">
        <v>85</v>
      </c>
      <c r="I529" s="16" t="s">
        <v>40</v>
      </c>
      <c r="J529" s="16" t="s">
        <v>38</v>
      </c>
      <c r="K529" s="16" t="s">
        <v>293</v>
      </c>
      <c r="L529" s="15">
        <v>-9263.4632755975017</v>
      </c>
      <c r="M529" s="15">
        <v>0</v>
      </c>
      <c r="N529" s="15">
        <v>-11783.255620880776</v>
      </c>
      <c r="O529" s="15">
        <v>2519.7923452832747</v>
      </c>
      <c r="P529" s="15">
        <f>O529</f>
        <v>2519.7923452832747</v>
      </c>
      <c r="Q529" s="15">
        <f>P529-R529-2520</f>
        <v>-0.20765471672530111</v>
      </c>
      <c r="R529" s="36">
        <v>0</v>
      </c>
      <c r="S529" s="15">
        <f t="shared" si="38"/>
        <v>-0.20765471672530111</v>
      </c>
      <c r="T529" s="16"/>
      <c r="U529" s="16"/>
    </row>
    <row r="530" spans="1:21" x14ac:dyDescent="0.25">
      <c r="A530" s="16" t="s">
        <v>37</v>
      </c>
      <c r="B530" s="16" t="s">
        <v>257</v>
      </c>
      <c r="C530" s="16" t="s">
        <v>258</v>
      </c>
      <c r="D530" s="16" t="s">
        <v>214</v>
      </c>
      <c r="E530" s="16" t="s">
        <v>218</v>
      </c>
      <c r="F530" s="16" t="s">
        <v>242</v>
      </c>
      <c r="G530" s="16" t="s">
        <v>243</v>
      </c>
      <c r="H530" s="16" t="s">
        <v>85</v>
      </c>
      <c r="I530" s="16" t="s">
        <v>40</v>
      </c>
      <c r="J530" s="16" t="s">
        <v>38</v>
      </c>
      <c r="K530" s="16" t="s">
        <v>293</v>
      </c>
      <c r="L530" s="15">
        <v>-234914.9875381671</v>
      </c>
      <c r="M530" s="15">
        <v>-67238.400000000009</v>
      </c>
      <c r="N530" s="15">
        <v>-176191.80162801995</v>
      </c>
      <c r="O530" s="15">
        <v>-58723.18591014712</v>
      </c>
      <c r="P530" s="15">
        <v>-58723.18591014712</v>
      </c>
      <c r="Q530" s="15">
        <f>P530-R530+P529+56203.39</f>
        <v>-3.5648638440761715E-3</v>
      </c>
      <c r="R530" s="36">
        <v>0</v>
      </c>
      <c r="S530" s="15">
        <f t="shared" si="38"/>
        <v>-3.5648638440761715E-3</v>
      </c>
      <c r="T530" s="16"/>
      <c r="U530" s="26"/>
    </row>
    <row r="531" spans="1:21" x14ac:dyDescent="0.25">
      <c r="A531" s="16" t="s">
        <v>37</v>
      </c>
      <c r="B531" s="16" t="s">
        <v>259</v>
      </c>
      <c r="C531" s="16" t="s">
        <v>260</v>
      </c>
      <c r="D531" s="16" t="s">
        <v>214</v>
      </c>
      <c r="E531" s="16" t="s">
        <v>218</v>
      </c>
      <c r="F531" s="16" t="s">
        <v>242</v>
      </c>
      <c r="G531" s="16" t="s">
        <v>243</v>
      </c>
      <c r="H531" s="16" t="s">
        <v>85</v>
      </c>
      <c r="I531" s="16" t="s">
        <v>40</v>
      </c>
      <c r="J531" s="16" t="s">
        <v>124</v>
      </c>
      <c r="K531" s="16" t="s">
        <v>125</v>
      </c>
      <c r="L531" s="15">
        <v>-4044.29887792</v>
      </c>
      <c r="M531" s="15">
        <v>0</v>
      </c>
      <c r="N531" s="15">
        <v>-2791.575045953191</v>
      </c>
      <c r="O531" s="15">
        <v>-1252.7238319668088</v>
      </c>
      <c r="P531" s="15">
        <v>0</v>
      </c>
      <c r="Q531" s="15">
        <f t="shared" si="37"/>
        <v>0</v>
      </c>
      <c r="R531" s="36">
        <v>0</v>
      </c>
      <c r="S531" s="15">
        <f t="shared" si="38"/>
        <v>0</v>
      </c>
      <c r="T531" s="16"/>
      <c r="U531" s="16"/>
    </row>
    <row r="532" spans="1:21" x14ac:dyDescent="0.25">
      <c r="A532" s="16" t="s">
        <v>37</v>
      </c>
      <c r="B532" s="16" t="s">
        <v>257</v>
      </c>
      <c r="C532" s="16" t="s">
        <v>258</v>
      </c>
      <c r="D532" s="16" t="s">
        <v>214</v>
      </c>
      <c r="E532" s="16" t="s">
        <v>218</v>
      </c>
      <c r="F532" s="16" t="s">
        <v>242</v>
      </c>
      <c r="G532" s="16" t="s">
        <v>243</v>
      </c>
      <c r="H532" s="16" t="s">
        <v>85</v>
      </c>
      <c r="I532" s="16" t="s">
        <v>40</v>
      </c>
      <c r="J532" s="16" t="s">
        <v>298</v>
      </c>
      <c r="K532" s="16" t="s">
        <v>299</v>
      </c>
      <c r="L532" s="15">
        <v>0</v>
      </c>
      <c r="M532" s="15">
        <v>0</v>
      </c>
      <c r="N532" s="15">
        <v>8.9416443600000015</v>
      </c>
      <c r="O532" s="15">
        <v>-8.9416443600000015</v>
      </c>
      <c r="P532" s="15">
        <f>O532</f>
        <v>-8.9416443600000015</v>
      </c>
      <c r="Q532" s="15">
        <f>P532-R532+8.94</f>
        <v>-1.6443600000020098E-3</v>
      </c>
      <c r="R532" s="36">
        <v>0</v>
      </c>
      <c r="S532" s="15">
        <f t="shared" si="38"/>
        <v>-1.6443600000020098E-3</v>
      </c>
      <c r="T532" s="16"/>
      <c r="U532" s="26"/>
    </row>
    <row r="533" spans="1:21" x14ac:dyDescent="0.25">
      <c r="A533" s="16" t="s">
        <v>37</v>
      </c>
      <c r="B533" s="16" t="s">
        <v>269</v>
      </c>
      <c r="C533" s="16" t="s">
        <v>270</v>
      </c>
      <c r="D533" s="16" t="s">
        <v>214</v>
      </c>
      <c r="E533" s="16" t="s">
        <v>218</v>
      </c>
      <c r="F533" s="16" t="s">
        <v>242</v>
      </c>
      <c r="G533" s="16" t="s">
        <v>243</v>
      </c>
      <c r="H533" s="16" t="s">
        <v>85</v>
      </c>
      <c r="I533" s="16" t="s">
        <v>40</v>
      </c>
      <c r="J533" s="16" t="s">
        <v>62</v>
      </c>
      <c r="K533" s="16" t="s">
        <v>63</v>
      </c>
      <c r="L533" s="15">
        <v>-3546.7200000000003</v>
      </c>
      <c r="M533" s="15">
        <v>-3546.7200000000003</v>
      </c>
      <c r="N533" s="15">
        <v>-3546.7199951999992</v>
      </c>
      <c r="O533" s="15">
        <v>-4.8000003971537808E-6</v>
      </c>
      <c r="P533" s="15">
        <v>0</v>
      </c>
      <c r="Q533" s="15">
        <f t="shared" si="37"/>
        <v>0</v>
      </c>
      <c r="R533" s="36">
        <v>0</v>
      </c>
      <c r="S533" s="15">
        <f t="shared" si="38"/>
        <v>0</v>
      </c>
      <c r="T533" s="16"/>
      <c r="U533" s="16"/>
    </row>
    <row r="536" spans="1:21" x14ac:dyDescent="0.25">
      <c r="F536" s="34"/>
      <c r="G536" s="33"/>
      <c r="H536" s="16"/>
      <c r="M536" s="15"/>
      <c r="O536" s="15"/>
    </row>
    <row r="537" spans="1:21" x14ac:dyDescent="0.25">
      <c r="G537" s="33"/>
      <c r="H537" s="16"/>
      <c r="M537" s="15"/>
    </row>
    <row r="538" spans="1:21" x14ac:dyDescent="0.25">
      <c r="M538" s="15"/>
    </row>
  </sheetData>
  <autoFilter ref="A7:AF533" xr:uid="{E9DD0CE9-A8C6-4775-B1B0-F812D448031E}"/>
  <mergeCells count="3">
    <mergeCell ref="L6:P6"/>
    <mergeCell ref="Q6:S6"/>
    <mergeCell ref="T6:U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12B32-36C3-4F2D-85BF-AE76EBA7619C}">
  <dimension ref="A1:I54"/>
  <sheetViews>
    <sheetView workbookViewId="0">
      <selection activeCell="N24" sqref="N24"/>
    </sheetView>
  </sheetViews>
  <sheetFormatPr defaultRowHeight="15" x14ac:dyDescent="0.25"/>
  <cols>
    <col min="1" max="1" width="8" customWidth="1"/>
    <col min="2" max="2" width="22.85546875" customWidth="1"/>
    <col min="3" max="3" width="22.28515625" customWidth="1"/>
    <col min="5" max="5" width="16.85546875" customWidth="1"/>
    <col min="6" max="6" width="38.7109375" customWidth="1"/>
    <col min="7" max="7" width="13.7109375" style="4" customWidth="1"/>
    <col min="8" max="8" width="13.7109375" style="34" customWidth="1"/>
    <col min="9" max="9" width="13.7109375" style="4" customWidth="1"/>
  </cols>
  <sheetData>
    <row r="1" spans="1:9" ht="29.25" x14ac:dyDescent="0.25">
      <c r="A1" s="40" t="s">
        <v>255</v>
      </c>
      <c r="B1" s="40" t="s">
        <v>256</v>
      </c>
      <c r="C1" s="40" t="s">
        <v>13</v>
      </c>
      <c r="D1" s="40" t="s">
        <v>14</v>
      </c>
      <c r="E1" s="40" t="s">
        <v>15</v>
      </c>
      <c r="F1" s="40" t="s">
        <v>16</v>
      </c>
      <c r="G1" s="47" t="s">
        <v>22</v>
      </c>
      <c r="H1" s="41" t="s">
        <v>23</v>
      </c>
      <c r="I1" s="47" t="s">
        <v>24</v>
      </c>
    </row>
    <row r="2" spans="1:9" x14ac:dyDescent="0.25">
      <c r="A2" s="16" t="s">
        <v>257</v>
      </c>
      <c r="B2" s="16" t="s">
        <v>258</v>
      </c>
      <c r="C2" s="16" t="s">
        <v>39</v>
      </c>
      <c r="D2" s="16" t="s">
        <v>40</v>
      </c>
      <c r="E2" s="16" t="s">
        <v>38</v>
      </c>
      <c r="F2" s="16"/>
      <c r="G2" s="15">
        <v>-3000000</v>
      </c>
      <c r="H2" s="36">
        <v>0</v>
      </c>
      <c r="I2" s="15">
        <f>SUM(G2:H2)</f>
        <v>-3000000</v>
      </c>
    </row>
    <row r="3" spans="1:9" x14ac:dyDescent="0.25">
      <c r="A3" s="16" t="s">
        <v>257</v>
      </c>
      <c r="B3" s="16" t="s">
        <v>258</v>
      </c>
      <c r="C3" s="16" t="s">
        <v>39</v>
      </c>
      <c r="D3" s="16" t="s">
        <v>40</v>
      </c>
      <c r="E3" s="16" t="s">
        <v>291</v>
      </c>
      <c r="F3" s="16" t="s">
        <v>292</v>
      </c>
      <c r="G3" s="15">
        <v>-800000</v>
      </c>
      <c r="H3" s="36">
        <v>0</v>
      </c>
      <c r="I3" s="15">
        <f t="shared" ref="I3:I25" si="0">SUM(G3:H3)</f>
        <v>-800000</v>
      </c>
    </row>
    <row r="4" spans="1:9" x14ac:dyDescent="0.25">
      <c r="A4" s="16" t="s">
        <v>257</v>
      </c>
      <c r="B4" s="16" t="s">
        <v>258</v>
      </c>
      <c r="C4" s="16" t="s">
        <v>85</v>
      </c>
      <c r="D4" s="16" t="s">
        <v>40</v>
      </c>
      <c r="E4" s="16" t="s">
        <v>38</v>
      </c>
      <c r="F4" s="16"/>
      <c r="G4" s="15">
        <v>-14663757.547715202</v>
      </c>
      <c r="H4" s="36">
        <v>0</v>
      </c>
      <c r="I4" s="15">
        <f t="shared" si="0"/>
        <v>-14663757.547715202</v>
      </c>
    </row>
    <row r="5" spans="1:9" x14ac:dyDescent="0.25">
      <c r="A5" s="16" t="s">
        <v>257</v>
      </c>
      <c r="B5" s="16" t="s">
        <v>258</v>
      </c>
      <c r="C5" s="16" t="s">
        <v>85</v>
      </c>
      <c r="D5" s="16" t="s">
        <v>40</v>
      </c>
      <c r="E5" s="16" t="s">
        <v>285</v>
      </c>
      <c r="F5" s="16" t="s">
        <v>286</v>
      </c>
      <c r="G5" s="15">
        <f>75527.16-78199.49-253436.81</f>
        <v>-256109.14</v>
      </c>
      <c r="H5" s="36">
        <v>-78199.490000000005</v>
      </c>
      <c r="I5" s="15">
        <f t="shared" si="0"/>
        <v>-334308.63</v>
      </c>
    </row>
    <row r="6" spans="1:9" x14ac:dyDescent="0.25">
      <c r="A6" s="16" t="s">
        <v>257</v>
      </c>
      <c r="B6" s="16" t="s">
        <v>258</v>
      </c>
      <c r="C6" s="16" t="s">
        <v>85</v>
      </c>
      <c r="D6" s="16" t="s">
        <v>40</v>
      </c>
      <c r="E6" s="16" t="s">
        <v>221</v>
      </c>
      <c r="F6" s="16" t="s">
        <v>222</v>
      </c>
      <c r="G6" s="15">
        <v>-645127.64000000013</v>
      </c>
      <c r="H6" s="36">
        <v>0</v>
      </c>
      <c r="I6" s="15">
        <f t="shared" si="0"/>
        <v>-645127.64000000013</v>
      </c>
    </row>
    <row r="7" spans="1:9" x14ac:dyDescent="0.25">
      <c r="A7" s="16" t="s">
        <v>257</v>
      </c>
      <c r="B7" s="16" t="s">
        <v>258</v>
      </c>
      <c r="C7" s="16" t="s">
        <v>85</v>
      </c>
      <c r="D7" s="16" t="s">
        <v>40</v>
      </c>
      <c r="E7" s="16" t="s">
        <v>223</v>
      </c>
      <c r="F7" s="16" t="s">
        <v>224</v>
      </c>
      <c r="G7" s="15">
        <v>-423780.05</v>
      </c>
      <c r="H7" s="36">
        <v>0</v>
      </c>
      <c r="I7" s="15">
        <f t="shared" si="0"/>
        <v>-423780.05</v>
      </c>
    </row>
    <row r="8" spans="1:9" x14ac:dyDescent="0.25">
      <c r="A8" s="16" t="s">
        <v>257</v>
      </c>
      <c r="B8" s="16" t="s">
        <v>258</v>
      </c>
      <c r="C8" s="16" t="s">
        <v>85</v>
      </c>
      <c r="D8" s="16" t="s">
        <v>40</v>
      </c>
      <c r="E8" s="16" t="s">
        <v>194</v>
      </c>
      <c r="F8" s="16" t="s">
        <v>195</v>
      </c>
      <c r="G8" s="15">
        <v>-358000</v>
      </c>
      <c r="H8" s="36">
        <v>0</v>
      </c>
      <c r="I8" s="15">
        <f t="shared" si="0"/>
        <v>-358000</v>
      </c>
    </row>
    <row r="9" spans="1:9" x14ac:dyDescent="0.25">
      <c r="A9" s="16" t="s">
        <v>257</v>
      </c>
      <c r="B9" s="16" t="s">
        <v>258</v>
      </c>
      <c r="C9" s="16" t="s">
        <v>85</v>
      </c>
      <c r="D9" s="16" t="s">
        <v>40</v>
      </c>
      <c r="E9" s="16" t="s">
        <v>196</v>
      </c>
      <c r="F9" s="16" t="s">
        <v>197</v>
      </c>
      <c r="G9" s="15">
        <v>-5000000</v>
      </c>
      <c r="H9" s="36">
        <v>0</v>
      </c>
      <c r="I9" s="15">
        <f t="shared" si="0"/>
        <v>-5000000</v>
      </c>
    </row>
    <row r="10" spans="1:9" x14ac:dyDescent="0.25">
      <c r="A10" s="16" t="s">
        <v>257</v>
      </c>
      <c r="B10" s="16" t="s">
        <v>258</v>
      </c>
      <c r="C10" s="16" t="s">
        <v>85</v>
      </c>
      <c r="D10" s="16" t="s">
        <v>40</v>
      </c>
      <c r="E10" s="16" t="s">
        <v>236</v>
      </c>
      <c r="F10" s="16" t="s">
        <v>237</v>
      </c>
      <c r="G10" s="15">
        <v>-546867.6</v>
      </c>
      <c r="H10" s="36">
        <v>0</v>
      </c>
      <c r="I10" s="15">
        <f t="shared" si="0"/>
        <v>-546867.6</v>
      </c>
    </row>
    <row r="11" spans="1:9" x14ac:dyDescent="0.25">
      <c r="A11" s="16" t="s">
        <v>257</v>
      </c>
      <c r="B11" s="16" t="s">
        <v>258</v>
      </c>
      <c r="C11" s="16" t="s">
        <v>85</v>
      </c>
      <c r="D11" s="16" t="s">
        <v>40</v>
      </c>
      <c r="E11" s="16" t="s">
        <v>142</v>
      </c>
      <c r="F11" s="16" t="s">
        <v>143</v>
      </c>
      <c r="G11" s="15">
        <v>-4547530</v>
      </c>
      <c r="H11" s="36">
        <v>0</v>
      </c>
      <c r="I11" s="15">
        <f t="shared" si="0"/>
        <v>-4547530</v>
      </c>
    </row>
    <row r="12" spans="1:9" x14ac:dyDescent="0.25">
      <c r="A12" s="16" t="s">
        <v>257</v>
      </c>
      <c r="B12" s="16" t="s">
        <v>258</v>
      </c>
      <c r="C12" s="16" t="s">
        <v>85</v>
      </c>
      <c r="D12" s="16" t="s">
        <v>40</v>
      </c>
      <c r="E12" s="16" t="s">
        <v>198</v>
      </c>
      <c r="F12" s="16" t="s">
        <v>199</v>
      </c>
      <c r="G12" s="15">
        <v>-1938920.2000000004</v>
      </c>
      <c r="H12" s="36">
        <v>0</v>
      </c>
      <c r="I12" s="15">
        <f t="shared" si="0"/>
        <v>-1938920.2000000004</v>
      </c>
    </row>
    <row r="13" spans="1:9" x14ac:dyDescent="0.25">
      <c r="A13" s="16" t="s">
        <v>257</v>
      </c>
      <c r="B13" s="16" t="s">
        <v>258</v>
      </c>
      <c r="C13" s="16" t="s">
        <v>85</v>
      </c>
      <c r="D13" s="16" t="s">
        <v>40</v>
      </c>
      <c r="E13" s="16" t="s">
        <v>296</v>
      </c>
      <c r="F13" s="16" t="s">
        <v>297</v>
      </c>
      <c r="G13" s="15">
        <v>-318262.79873253114</v>
      </c>
      <c r="H13" s="36">
        <v>0</v>
      </c>
      <c r="I13" s="15">
        <f t="shared" si="0"/>
        <v>-318262.79873253114</v>
      </c>
    </row>
    <row r="14" spans="1:9" x14ac:dyDescent="0.25">
      <c r="A14" s="16" t="s">
        <v>257</v>
      </c>
      <c r="B14" s="16" t="s">
        <v>258</v>
      </c>
      <c r="C14" s="16" t="s">
        <v>85</v>
      </c>
      <c r="D14" s="16" t="s">
        <v>40</v>
      </c>
      <c r="E14" s="16" t="s">
        <v>298</v>
      </c>
      <c r="F14" s="16" t="s">
        <v>299</v>
      </c>
      <c r="G14" s="15">
        <v>-441731.80098000041</v>
      </c>
      <c r="H14" s="36">
        <v>0</v>
      </c>
      <c r="I14" s="15">
        <f t="shared" si="0"/>
        <v>-441731.80098000041</v>
      </c>
    </row>
    <row r="15" spans="1:9" x14ac:dyDescent="0.25">
      <c r="A15" s="16" t="s">
        <v>257</v>
      </c>
      <c r="B15" s="16" t="s">
        <v>258</v>
      </c>
      <c r="C15" s="16" t="s">
        <v>85</v>
      </c>
      <c r="D15" s="16" t="s">
        <v>40</v>
      </c>
      <c r="E15" s="16" t="s">
        <v>304</v>
      </c>
      <c r="F15" s="16" t="s">
        <v>305</v>
      </c>
      <c r="G15" s="15">
        <v>-282845.44010000024</v>
      </c>
      <c r="H15" s="36">
        <v>0</v>
      </c>
      <c r="I15" s="15">
        <f t="shared" si="0"/>
        <v>-282845.44010000024</v>
      </c>
    </row>
    <row r="16" spans="1:9" x14ac:dyDescent="0.25">
      <c r="A16" s="16" t="s">
        <v>257</v>
      </c>
      <c r="B16" s="16" t="s">
        <v>258</v>
      </c>
      <c r="C16" s="16" t="s">
        <v>85</v>
      </c>
      <c r="D16" s="16" t="s">
        <v>40</v>
      </c>
      <c r="E16" s="16" t="s">
        <v>67</v>
      </c>
      <c r="F16" s="16" t="s">
        <v>68</v>
      </c>
      <c r="G16" s="15">
        <v>-50000</v>
      </c>
      <c r="H16" s="36">
        <v>0</v>
      </c>
      <c r="I16" s="15">
        <f t="shared" si="0"/>
        <v>-50000</v>
      </c>
    </row>
    <row r="17" spans="1:9" x14ac:dyDescent="0.25">
      <c r="A17" s="16" t="s">
        <v>257</v>
      </c>
      <c r="B17" s="16" t="s">
        <v>258</v>
      </c>
      <c r="C17" s="16" t="s">
        <v>85</v>
      </c>
      <c r="D17" s="16" t="s">
        <v>40</v>
      </c>
      <c r="E17" s="16" t="s">
        <v>134</v>
      </c>
      <c r="F17" s="16" t="s">
        <v>135</v>
      </c>
      <c r="G17" s="15">
        <v>-181817</v>
      </c>
      <c r="H17" s="36">
        <v>0</v>
      </c>
      <c r="I17" s="15">
        <f t="shared" si="0"/>
        <v>-181817</v>
      </c>
    </row>
    <row r="18" spans="1:9" x14ac:dyDescent="0.25">
      <c r="A18" s="16" t="s">
        <v>261</v>
      </c>
      <c r="B18" s="16" t="s">
        <v>262</v>
      </c>
      <c r="C18" s="16" t="s">
        <v>41</v>
      </c>
      <c r="D18" s="16" t="s">
        <v>40</v>
      </c>
      <c r="E18" s="16" t="s">
        <v>285</v>
      </c>
      <c r="F18" s="16" t="s">
        <v>286</v>
      </c>
      <c r="G18" s="15">
        <v>-172.4899899999582</v>
      </c>
      <c r="H18" s="36">
        <v>0</v>
      </c>
      <c r="I18" s="15">
        <f t="shared" si="0"/>
        <v>-172.4899899999582</v>
      </c>
    </row>
    <row r="19" spans="1:9" x14ac:dyDescent="0.25">
      <c r="A19" s="16" t="s">
        <v>261</v>
      </c>
      <c r="B19" s="16" t="s">
        <v>262</v>
      </c>
      <c r="C19" s="16" t="s">
        <v>85</v>
      </c>
      <c r="D19" s="16" t="s">
        <v>40</v>
      </c>
      <c r="E19" s="16" t="s">
        <v>38</v>
      </c>
      <c r="F19" s="16"/>
      <c r="G19" s="15">
        <v>-1100044.3025100005</v>
      </c>
      <c r="H19" s="36">
        <v>0</v>
      </c>
      <c r="I19" s="15">
        <f t="shared" si="0"/>
        <v>-1100044.3025100005</v>
      </c>
    </row>
    <row r="20" spans="1:9" x14ac:dyDescent="0.25">
      <c r="A20" s="16" t="s">
        <v>265</v>
      </c>
      <c r="B20" s="16" t="s">
        <v>266</v>
      </c>
      <c r="C20" s="16" t="s">
        <v>41</v>
      </c>
      <c r="D20" s="16" t="s">
        <v>40</v>
      </c>
      <c r="E20" s="16" t="s">
        <v>289</v>
      </c>
      <c r="F20" s="16" t="s">
        <v>290</v>
      </c>
      <c r="G20" s="15">
        <v>-787.00000000001455</v>
      </c>
      <c r="H20" s="36">
        <v>0</v>
      </c>
      <c r="I20" s="15">
        <f t="shared" si="0"/>
        <v>-787.00000000001455</v>
      </c>
    </row>
    <row r="21" spans="1:9" x14ac:dyDescent="0.25">
      <c r="A21" s="16" t="s">
        <v>265</v>
      </c>
      <c r="B21" s="16" t="s">
        <v>266</v>
      </c>
      <c r="C21" s="16" t="s">
        <v>41</v>
      </c>
      <c r="D21" s="16" t="s">
        <v>40</v>
      </c>
      <c r="E21" s="16" t="s">
        <v>285</v>
      </c>
      <c r="F21" s="16" t="s">
        <v>286</v>
      </c>
      <c r="G21" s="15">
        <v>-120.00000000000364</v>
      </c>
      <c r="H21" s="36">
        <v>0</v>
      </c>
      <c r="I21" s="15">
        <f t="shared" si="0"/>
        <v>-120.00000000000364</v>
      </c>
    </row>
    <row r="22" spans="1:9" x14ac:dyDescent="0.25">
      <c r="A22" s="16" t="s">
        <v>265</v>
      </c>
      <c r="B22" s="16" t="s">
        <v>266</v>
      </c>
      <c r="C22" s="16" t="s">
        <v>85</v>
      </c>
      <c r="D22" s="16" t="s">
        <v>40</v>
      </c>
      <c r="E22" s="16" t="s">
        <v>38</v>
      </c>
      <c r="F22" s="16"/>
      <c r="G22" s="15">
        <v>-2331209.0736900009</v>
      </c>
      <c r="H22" s="36">
        <v>0</v>
      </c>
      <c r="I22" s="15">
        <f t="shared" si="0"/>
        <v>-2331209.0736900009</v>
      </c>
    </row>
    <row r="23" spans="1:9" x14ac:dyDescent="0.25">
      <c r="A23" s="16" t="s">
        <v>269</v>
      </c>
      <c r="B23" s="16" t="s">
        <v>270</v>
      </c>
      <c r="C23" s="16" t="s">
        <v>41</v>
      </c>
      <c r="D23" s="16" t="s">
        <v>40</v>
      </c>
      <c r="E23" s="16" t="s">
        <v>281</v>
      </c>
      <c r="F23" s="16" t="s">
        <v>282</v>
      </c>
      <c r="G23" s="15">
        <v>-1793817.1401899997</v>
      </c>
      <c r="H23" s="36">
        <v>0</v>
      </c>
      <c r="I23" s="15">
        <f t="shared" si="0"/>
        <v>-1793817.1401899997</v>
      </c>
    </row>
    <row r="24" spans="1:9" x14ac:dyDescent="0.25">
      <c r="A24" s="16" t="s">
        <v>269</v>
      </c>
      <c r="B24" s="16" t="s">
        <v>270</v>
      </c>
      <c r="C24" s="16" t="s">
        <v>41</v>
      </c>
      <c r="D24" s="16" t="s">
        <v>40</v>
      </c>
      <c r="E24" s="16" t="s">
        <v>64</v>
      </c>
      <c r="F24" s="16" t="s">
        <v>65</v>
      </c>
      <c r="G24" s="15">
        <v>-504436</v>
      </c>
      <c r="H24" s="36">
        <v>0</v>
      </c>
      <c r="I24" s="15">
        <f t="shared" si="0"/>
        <v>-504436</v>
      </c>
    </row>
    <row r="25" spans="1:9" x14ac:dyDescent="0.25">
      <c r="A25" s="16" t="s">
        <v>269</v>
      </c>
      <c r="B25" s="16" t="s">
        <v>270</v>
      </c>
      <c r="C25" s="16" t="s">
        <v>41</v>
      </c>
      <c r="D25" s="16" t="s">
        <v>40</v>
      </c>
      <c r="E25" s="16" t="s">
        <v>67</v>
      </c>
      <c r="F25" s="16" t="s">
        <v>68</v>
      </c>
      <c r="G25" s="15">
        <v>-257276</v>
      </c>
      <c r="H25" s="36">
        <v>0</v>
      </c>
      <c r="I25" s="15">
        <f t="shared" si="0"/>
        <v>-257276</v>
      </c>
    </row>
    <row r="26" spans="1:9" x14ac:dyDescent="0.25">
      <c r="A26" s="16" t="s">
        <v>269</v>
      </c>
      <c r="B26" s="16" t="s">
        <v>270</v>
      </c>
      <c r="C26" s="16" t="s">
        <v>85</v>
      </c>
      <c r="D26" s="16" t="s">
        <v>40</v>
      </c>
      <c r="E26" s="16" t="s">
        <v>130</v>
      </c>
      <c r="F26" s="16" t="s">
        <v>131</v>
      </c>
      <c r="G26" s="15">
        <v>-97755.999980000022</v>
      </c>
      <c r="H26" s="36">
        <v>0</v>
      </c>
      <c r="I26" s="15">
        <f t="shared" ref="I26:I53" si="1">SUM(G26:H26)</f>
        <v>-97755.999980000022</v>
      </c>
    </row>
    <row r="27" spans="1:9" x14ac:dyDescent="0.25">
      <c r="A27" s="16" t="s">
        <v>269</v>
      </c>
      <c r="B27" s="16" t="s">
        <v>270</v>
      </c>
      <c r="C27" s="16" t="s">
        <v>85</v>
      </c>
      <c r="D27" s="16" t="s">
        <v>40</v>
      </c>
      <c r="E27" s="16" t="s">
        <v>64</v>
      </c>
      <c r="F27" s="16" t="s">
        <v>65</v>
      </c>
      <c r="G27" s="15">
        <v>-505106.37270000065</v>
      </c>
      <c r="H27" s="36">
        <v>0</v>
      </c>
      <c r="I27" s="15">
        <f t="shared" si="1"/>
        <v>-505106.37270000065</v>
      </c>
    </row>
    <row r="28" spans="1:9" x14ac:dyDescent="0.25">
      <c r="A28" s="16" t="s">
        <v>269</v>
      </c>
      <c r="B28" s="16" t="s">
        <v>270</v>
      </c>
      <c r="C28" s="16" t="s">
        <v>85</v>
      </c>
      <c r="D28" s="16" t="s">
        <v>40</v>
      </c>
      <c r="E28" s="16" t="s">
        <v>67</v>
      </c>
      <c r="F28" s="16" t="s">
        <v>68</v>
      </c>
      <c r="G28" s="15">
        <v>-57987.669999999991</v>
      </c>
      <c r="H28" s="36">
        <v>0</v>
      </c>
      <c r="I28" s="15">
        <f t="shared" si="1"/>
        <v>-57987.669999999991</v>
      </c>
    </row>
    <row r="29" spans="1:9" x14ac:dyDescent="0.25">
      <c r="A29" s="37" t="s">
        <v>269</v>
      </c>
      <c r="B29" s="16" t="s">
        <v>270</v>
      </c>
      <c r="C29" s="16" t="s">
        <v>85</v>
      </c>
      <c r="D29" s="16" t="s">
        <v>40</v>
      </c>
      <c r="E29" s="16"/>
      <c r="F29" s="16"/>
      <c r="G29" s="15">
        <v>-9420</v>
      </c>
      <c r="H29" s="36">
        <v>0</v>
      </c>
      <c r="I29" s="15">
        <f t="shared" si="1"/>
        <v>-9420</v>
      </c>
    </row>
    <row r="30" spans="1:9" x14ac:dyDescent="0.25">
      <c r="A30" s="16" t="s">
        <v>259</v>
      </c>
      <c r="B30" s="16" t="s">
        <v>260</v>
      </c>
      <c r="C30" s="16" t="s">
        <v>41</v>
      </c>
      <c r="D30" s="16" t="s">
        <v>40</v>
      </c>
      <c r="E30" s="16" t="s">
        <v>281</v>
      </c>
      <c r="F30" s="16" t="s">
        <v>282</v>
      </c>
      <c r="G30" s="15">
        <v>-660877.00037999998</v>
      </c>
      <c r="H30" s="36">
        <v>0</v>
      </c>
      <c r="I30" s="15">
        <f t="shared" si="1"/>
        <v>-660877.00037999998</v>
      </c>
    </row>
    <row r="31" spans="1:9" x14ac:dyDescent="0.25">
      <c r="A31" s="16" t="s">
        <v>259</v>
      </c>
      <c r="B31" s="16" t="s">
        <v>260</v>
      </c>
      <c r="C31" s="16" t="s">
        <v>41</v>
      </c>
      <c r="D31" s="16" t="s">
        <v>40</v>
      </c>
      <c r="E31" s="16" t="s">
        <v>283</v>
      </c>
      <c r="F31" s="16" t="s">
        <v>284</v>
      </c>
      <c r="G31" s="15">
        <v>-50760.000000000015</v>
      </c>
      <c r="H31" s="36">
        <v>0</v>
      </c>
      <c r="I31" s="15">
        <f t="shared" si="1"/>
        <v>-50760.000000000015</v>
      </c>
    </row>
    <row r="32" spans="1:9" x14ac:dyDescent="0.25">
      <c r="A32" s="16" t="s">
        <v>259</v>
      </c>
      <c r="B32" s="16" t="s">
        <v>260</v>
      </c>
      <c r="C32" s="16" t="s">
        <v>41</v>
      </c>
      <c r="D32" s="16" t="s">
        <v>40</v>
      </c>
      <c r="E32" s="16" t="s">
        <v>46</v>
      </c>
      <c r="F32" s="16" t="s">
        <v>47</v>
      </c>
      <c r="G32" s="15">
        <v>-2.0000000949949026E-4</v>
      </c>
      <c r="H32" s="36">
        <v>-480350</v>
      </c>
      <c r="I32" s="15">
        <f t="shared" si="1"/>
        <v>-480350.00020000001</v>
      </c>
    </row>
    <row r="33" spans="1:9" x14ac:dyDescent="0.25">
      <c r="A33" s="16" t="s">
        <v>259</v>
      </c>
      <c r="B33" s="16" t="s">
        <v>260</v>
      </c>
      <c r="C33" s="16" t="s">
        <v>41</v>
      </c>
      <c r="D33" s="16" t="s">
        <v>40</v>
      </c>
      <c r="E33" s="16" t="s">
        <v>48</v>
      </c>
      <c r="F33" s="16" t="s">
        <v>49</v>
      </c>
      <c r="G33" s="15">
        <v>-12044872.11197</v>
      </c>
      <c r="H33" s="36">
        <v>0</v>
      </c>
      <c r="I33" s="15">
        <f t="shared" si="1"/>
        <v>-12044872.11197</v>
      </c>
    </row>
    <row r="34" spans="1:9" x14ac:dyDescent="0.25">
      <c r="A34" s="16" t="s">
        <v>259</v>
      </c>
      <c r="B34" s="16" t="s">
        <v>260</v>
      </c>
      <c r="C34" s="16" t="s">
        <v>41</v>
      </c>
      <c r="D34" s="16" t="s">
        <v>40</v>
      </c>
      <c r="E34" s="16" t="s">
        <v>50</v>
      </c>
      <c r="F34" s="16" t="s">
        <v>51</v>
      </c>
      <c r="G34" s="15">
        <v>0</v>
      </c>
      <c r="H34" s="36">
        <v>-400000</v>
      </c>
      <c r="I34" s="15">
        <f t="shared" si="1"/>
        <v>-400000</v>
      </c>
    </row>
    <row r="35" spans="1:9" x14ac:dyDescent="0.25">
      <c r="A35" s="16" t="s">
        <v>259</v>
      </c>
      <c r="B35" s="16" t="s">
        <v>260</v>
      </c>
      <c r="C35" s="16" t="s">
        <v>41</v>
      </c>
      <c r="D35" s="16" t="s">
        <v>40</v>
      </c>
      <c r="E35" s="16" t="s">
        <v>52</v>
      </c>
      <c r="F35" s="16" t="s">
        <v>53</v>
      </c>
      <c r="G35" s="15">
        <v>-73990.12</v>
      </c>
      <c r="H35" s="36">
        <v>0</v>
      </c>
      <c r="I35" s="15">
        <f t="shared" si="1"/>
        <v>-73990.12</v>
      </c>
    </row>
    <row r="36" spans="1:9" x14ac:dyDescent="0.25">
      <c r="A36" s="16" t="s">
        <v>259</v>
      </c>
      <c r="B36" s="16" t="s">
        <v>260</v>
      </c>
      <c r="C36" s="16" t="s">
        <v>41</v>
      </c>
      <c r="D36" s="16" t="s">
        <v>40</v>
      </c>
      <c r="E36" s="16" t="s">
        <v>54</v>
      </c>
      <c r="F36" s="16" t="s">
        <v>55</v>
      </c>
      <c r="G36" s="15">
        <v>-1376374.9710000004</v>
      </c>
      <c r="H36" s="36">
        <v>0</v>
      </c>
      <c r="I36" s="15">
        <f t="shared" si="1"/>
        <v>-1376374.9710000004</v>
      </c>
    </row>
    <row r="37" spans="1:9" x14ac:dyDescent="0.25">
      <c r="A37" s="16" t="s">
        <v>259</v>
      </c>
      <c r="B37" s="16" t="s">
        <v>260</v>
      </c>
      <c r="C37" s="16" t="s">
        <v>41</v>
      </c>
      <c r="D37" s="16" t="s">
        <v>40</v>
      </c>
      <c r="E37" s="16" t="s">
        <v>79</v>
      </c>
      <c r="F37" s="16" t="s">
        <v>80</v>
      </c>
      <c r="G37" s="15">
        <v>-13200.000200000002</v>
      </c>
      <c r="H37" s="36">
        <v>0</v>
      </c>
      <c r="I37" s="15">
        <f t="shared" si="1"/>
        <v>-13200.000200000002</v>
      </c>
    </row>
    <row r="38" spans="1:9" x14ac:dyDescent="0.25">
      <c r="A38" s="16" t="s">
        <v>259</v>
      </c>
      <c r="B38" s="16" t="s">
        <v>260</v>
      </c>
      <c r="C38" s="16" t="s">
        <v>85</v>
      </c>
      <c r="D38" s="16" t="s">
        <v>40</v>
      </c>
      <c r="E38" s="16" t="s">
        <v>38</v>
      </c>
      <c r="F38" s="16"/>
      <c r="G38" s="15">
        <v>-2141251.4574285895</v>
      </c>
      <c r="H38" s="36">
        <v>0</v>
      </c>
      <c r="I38" s="15">
        <f t="shared" si="1"/>
        <v>-2141251.4574285895</v>
      </c>
    </row>
    <row r="39" spans="1:9" x14ac:dyDescent="0.25">
      <c r="A39" s="16" t="s">
        <v>259</v>
      </c>
      <c r="B39" s="16" t="s">
        <v>260</v>
      </c>
      <c r="C39" s="16" t="s">
        <v>85</v>
      </c>
      <c r="D39" s="16" t="s">
        <v>40</v>
      </c>
      <c r="E39" s="16" t="s">
        <v>287</v>
      </c>
      <c r="F39" s="16" t="s">
        <v>288</v>
      </c>
      <c r="G39" s="15">
        <v>0</v>
      </c>
      <c r="H39" s="36">
        <v>-195958.73</v>
      </c>
      <c r="I39" s="15">
        <f t="shared" si="1"/>
        <v>-195958.73</v>
      </c>
    </row>
    <row r="40" spans="1:9" x14ac:dyDescent="0.25">
      <c r="A40" s="16" t="s">
        <v>267</v>
      </c>
      <c r="B40" s="16" t="s">
        <v>268</v>
      </c>
      <c r="C40" s="16" t="s">
        <v>41</v>
      </c>
      <c r="D40" s="16" t="s">
        <v>40</v>
      </c>
      <c r="E40" s="16" t="s">
        <v>281</v>
      </c>
      <c r="F40" s="16" t="s">
        <v>282</v>
      </c>
      <c r="G40" s="15">
        <v>-106900</v>
      </c>
      <c r="H40" s="36"/>
      <c r="I40" s="15">
        <f t="shared" si="1"/>
        <v>-106900</v>
      </c>
    </row>
    <row r="41" spans="1:9" x14ac:dyDescent="0.25">
      <c r="A41" s="16" t="s">
        <v>267</v>
      </c>
      <c r="B41" s="16" t="s">
        <v>268</v>
      </c>
      <c r="C41" s="16" t="s">
        <v>41</v>
      </c>
      <c r="D41" s="16" t="s">
        <v>40</v>
      </c>
      <c r="E41" s="16" t="s">
        <v>283</v>
      </c>
      <c r="F41" s="16" t="s">
        <v>284</v>
      </c>
      <c r="G41" s="15">
        <v>-521669.99998999998</v>
      </c>
      <c r="H41" s="36">
        <v>0</v>
      </c>
      <c r="I41" s="15">
        <f t="shared" si="1"/>
        <v>-521669.99998999998</v>
      </c>
    </row>
    <row r="42" spans="1:9" x14ac:dyDescent="0.25">
      <c r="A42" s="16" t="s">
        <v>267</v>
      </c>
      <c r="B42" s="16" t="s">
        <v>268</v>
      </c>
      <c r="C42" s="16" t="s">
        <v>41</v>
      </c>
      <c r="D42" s="16" t="s">
        <v>40</v>
      </c>
      <c r="E42" s="16" t="s">
        <v>42</v>
      </c>
      <c r="F42" s="16" t="s">
        <v>43</v>
      </c>
      <c r="G42" s="15">
        <v>-375000</v>
      </c>
      <c r="H42" s="36">
        <v>0</v>
      </c>
      <c r="I42" s="15">
        <f t="shared" si="1"/>
        <v>-375000</v>
      </c>
    </row>
    <row r="43" spans="1:9" x14ac:dyDescent="0.25">
      <c r="A43" s="16" t="s">
        <v>267</v>
      </c>
      <c r="B43" s="16" t="s">
        <v>268</v>
      </c>
      <c r="C43" s="16" t="s">
        <v>41</v>
      </c>
      <c r="D43" s="16" t="s">
        <v>40</v>
      </c>
      <c r="E43" s="16" t="s">
        <v>71</v>
      </c>
      <c r="F43" s="16" t="s">
        <v>72</v>
      </c>
      <c r="G43" s="15">
        <v>0</v>
      </c>
      <c r="H43" s="36">
        <v>-18000</v>
      </c>
      <c r="I43" s="15">
        <f t="shared" si="1"/>
        <v>-18000</v>
      </c>
    </row>
    <row r="44" spans="1:9" x14ac:dyDescent="0.25">
      <c r="A44" s="16" t="s">
        <v>267</v>
      </c>
      <c r="B44" s="16" t="s">
        <v>268</v>
      </c>
      <c r="C44" s="16" t="s">
        <v>85</v>
      </c>
      <c r="D44" s="16" t="s">
        <v>40</v>
      </c>
      <c r="E44" s="16" t="s">
        <v>38</v>
      </c>
      <c r="F44" s="16" t="s">
        <v>293</v>
      </c>
      <c r="G44" s="15">
        <v>-983420.73126000003</v>
      </c>
      <c r="H44" s="36">
        <v>0</v>
      </c>
      <c r="I44" s="15">
        <f t="shared" si="1"/>
        <v>-983420.73126000003</v>
      </c>
    </row>
    <row r="45" spans="1:9" x14ac:dyDescent="0.25">
      <c r="A45" s="37" t="s">
        <v>267</v>
      </c>
      <c r="B45" s="16" t="s">
        <v>268</v>
      </c>
      <c r="C45" s="16" t="s">
        <v>85</v>
      </c>
      <c r="D45" s="16" t="s">
        <v>40</v>
      </c>
      <c r="E45" s="16" t="s">
        <v>71</v>
      </c>
      <c r="F45" s="16" t="s">
        <v>72</v>
      </c>
      <c r="G45" s="15">
        <f>-1863304.37+1000000</f>
        <v>-863304.37000000011</v>
      </c>
      <c r="H45" s="36">
        <v>-1000000</v>
      </c>
      <c r="I45" s="15">
        <f t="shared" si="1"/>
        <v>-1863304.37</v>
      </c>
    </row>
    <row r="46" spans="1:9" x14ac:dyDescent="0.25">
      <c r="A46" s="16" t="s">
        <v>271</v>
      </c>
      <c r="B46" s="16" t="s">
        <v>272</v>
      </c>
      <c r="C46" s="16" t="s">
        <v>41</v>
      </c>
      <c r="D46" s="16" t="s">
        <v>40</v>
      </c>
      <c r="E46" s="16" t="s">
        <v>289</v>
      </c>
      <c r="F46" s="16" t="s">
        <v>290</v>
      </c>
      <c r="G46" s="15">
        <v>-410887</v>
      </c>
      <c r="H46" s="36">
        <v>0</v>
      </c>
      <c r="I46" s="15">
        <f t="shared" si="1"/>
        <v>-410887</v>
      </c>
    </row>
    <row r="47" spans="1:9" x14ac:dyDescent="0.25">
      <c r="A47" s="16" t="s">
        <v>271</v>
      </c>
      <c r="B47" s="16" t="s">
        <v>272</v>
      </c>
      <c r="C47" s="16" t="s">
        <v>41</v>
      </c>
      <c r="D47" s="16" t="s">
        <v>40</v>
      </c>
      <c r="E47" s="16" t="s">
        <v>58</v>
      </c>
      <c r="F47" s="16" t="s">
        <v>59</v>
      </c>
      <c r="G47" s="15">
        <v>8988</v>
      </c>
      <c r="H47" s="36">
        <v>-307367</v>
      </c>
      <c r="I47" s="15">
        <f t="shared" si="1"/>
        <v>-298379</v>
      </c>
    </row>
    <row r="48" spans="1:9" x14ac:dyDescent="0.25">
      <c r="A48" s="16" t="s">
        <v>271</v>
      </c>
      <c r="B48" s="16" t="s">
        <v>272</v>
      </c>
      <c r="C48" s="16" t="s">
        <v>41</v>
      </c>
      <c r="D48" s="16" t="s">
        <v>40</v>
      </c>
      <c r="E48" s="16" t="s">
        <v>77</v>
      </c>
      <c r="F48" s="16" t="s">
        <v>78</v>
      </c>
      <c r="G48" s="15">
        <v>0</v>
      </c>
      <c r="H48" s="36">
        <v>-279129</v>
      </c>
      <c r="I48" s="15">
        <f t="shared" si="1"/>
        <v>-279129</v>
      </c>
    </row>
    <row r="49" spans="1:9" x14ac:dyDescent="0.25">
      <c r="A49" s="16" t="s">
        <v>271</v>
      </c>
      <c r="B49" s="16" t="s">
        <v>272</v>
      </c>
      <c r="C49" s="16" t="s">
        <v>41</v>
      </c>
      <c r="D49" s="16" t="s">
        <v>40</v>
      </c>
      <c r="E49" s="16" t="s">
        <v>79</v>
      </c>
      <c r="F49" s="16" t="s">
        <v>80</v>
      </c>
      <c r="G49" s="15">
        <v>0</v>
      </c>
      <c r="H49" s="36">
        <v>-619707</v>
      </c>
      <c r="I49" s="15">
        <f t="shared" si="1"/>
        <v>-619707</v>
      </c>
    </row>
    <row r="50" spans="1:9" x14ac:dyDescent="0.25">
      <c r="A50" s="16" t="s">
        <v>271</v>
      </c>
      <c r="B50" s="16" t="s">
        <v>272</v>
      </c>
      <c r="C50" s="16" t="s">
        <v>85</v>
      </c>
      <c r="D50" s="16" t="s">
        <v>40</v>
      </c>
      <c r="E50" s="16" t="s">
        <v>38</v>
      </c>
      <c r="F50" s="16" t="s">
        <v>293</v>
      </c>
      <c r="G50" s="15">
        <v>-4439328.3372900002</v>
      </c>
      <c r="H50" s="36">
        <v>0</v>
      </c>
      <c r="I50" s="15">
        <f t="shared" si="1"/>
        <v>-4439328.3372900002</v>
      </c>
    </row>
    <row r="51" spans="1:9" x14ac:dyDescent="0.25">
      <c r="A51" s="16" t="s">
        <v>271</v>
      </c>
      <c r="B51" s="16" t="s">
        <v>272</v>
      </c>
      <c r="C51" s="16" t="s">
        <v>85</v>
      </c>
      <c r="D51" s="16" t="s">
        <v>40</v>
      </c>
      <c r="E51" s="16" t="s">
        <v>287</v>
      </c>
      <c r="F51" s="16" t="s">
        <v>288</v>
      </c>
      <c r="G51" s="15">
        <v>-252947.48999999996</v>
      </c>
      <c r="H51" s="36">
        <v>0</v>
      </c>
      <c r="I51" s="15">
        <f t="shared" si="1"/>
        <v>-252947.48999999996</v>
      </c>
    </row>
    <row r="52" spans="1:9" x14ac:dyDescent="0.25">
      <c r="A52" s="16" t="s">
        <v>271</v>
      </c>
      <c r="B52" s="16" t="s">
        <v>272</v>
      </c>
      <c r="C52" s="16" t="s">
        <v>85</v>
      </c>
      <c r="D52" s="16" t="s">
        <v>40</v>
      </c>
      <c r="E52" s="16" t="s">
        <v>77</v>
      </c>
      <c r="F52" s="16" t="s">
        <v>78</v>
      </c>
      <c r="G52" s="15">
        <v>-55370.040000000794</v>
      </c>
      <c r="H52" s="36">
        <v>-180000</v>
      </c>
      <c r="I52" s="15">
        <f t="shared" si="1"/>
        <v>-235370.04000000079</v>
      </c>
    </row>
    <row r="53" spans="1:9" x14ac:dyDescent="0.25">
      <c r="A53" s="37" t="s">
        <v>271</v>
      </c>
      <c r="B53" s="16" t="s">
        <v>272</v>
      </c>
      <c r="C53" s="16" t="s">
        <v>85</v>
      </c>
      <c r="D53" s="16" t="s">
        <v>40</v>
      </c>
      <c r="E53" s="16" t="s">
        <v>79</v>
      </c>
      <c r="F53" s="16" t="s">
        <v>80</v>
      </c>
      <c r="G53" s="15">
        <v>1.0000076144933701E-5</v>
      </c>
      <c r="H53" s="36">
        <v>-200000</v>
      </c>
      <c r="I53" s="15">
        <f t="shared" si="1"/>
        <v>-199999.99998999992</v>
      </c>
    </row>
    <row r="54" spans="1:9" x14ac:dyDescent="0.25">
      <c r="A54" s="38" t="s">
        <v>307</v>
      </c>
      <c r="B54" s="38"/>
      <c r="C54" s="38"/>
      <c r="D54" s="38"/>
      <c r="E54" s="38"/>
      <c r="F54" s="38"/>
      <c r="G54" s="48">
        <f>SUM(G2:G53)</f>
        <v>-64474046.896296337</v>
      </c>
      <c r="H54" s="39">
        <f t="shared" ref="H54:I54" si="2">SUM(H2:H53)</f>
        <v>-3758711.2199999997</v>
      </c>
      <c r="I54" s="48">
        <f t="shared" si="2"/>
        <v>-68232758.116296321</v>
      </c>
    </row>
  </sheetData>
  <autoFilter ref="A1:I54" xr:uid="{A1A12B32-36C3-4F2D-85BF-AE76EBA7619C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93EB2-F9FA-4D2B-BDDB-320780FCF148}">
  <sheetPr filterMode="1"/>
  <dimension ref="A1:W535"/>
  <sheetViews>
    <sheetView topLeftCell="B442" zoomScale="90" zoomScaleNormal="90" workbookViewId="0">
      <selection activeCell="K3" sqref="K3"/>
    </sheetView>
  </sheetViews>
  <sheetFormatPr defaultRowHeight="15" x14ac:dyDescent="0.25"/>
  <cols>
    <col min="1" max="1" width="11.140625" customWidth="1"/>
    <col min="2" max="2" width="8.140625" customWidth="1"/>
    <col min="3" max="3" width="21.85546875" customWidth="1"/>
    <col min="4" max="4" width="15.5703125" customWidth="1"/>
    <col min="5" max="5" width="13.5703125" customWidth="1"/>
    <col min="6" max="6" width="12.42578125" customWidth="1"/>
    <col min="7" max="7" width="38" customWidth="1"/>
    <col min="8" max="8" width="21" customWidth="1"/>
    <col min="9" max="9" width="9" customWidth="1"/>
    <col min="11" max="11" width="15.28515625" customWidth="1"/>
    <col min="12" max="12" width="16" customWidth="1"/>
    <col min="13" max="13" width="13.140625" customWidth="1"/>
    <col min="14" max="14" width="14.140625" customWidth="1"/>
    <col min="15" max="15" width="13.28515625" customWidth="1"/>
    <col min="16" max="16" width="13" customWidth="1"/>
    <col min="17" max="17" width="13.140625" customWidth="1"/>
    <col min="18" max="18" width="12.140625" customWidth="1"/>
    <col min="19" max="19" width="16.28515625" customWidth="1"/>
    <col min="20" max="20" width="14.7109375" customWidth="1"/>
    <col min="21" max="21" width="14.42578125" style="27" customWidth="1"/>
  </cols>
  <sheetData>
    <row r="1" spans="1:21" ht="15.75" x14ac:dyDescent="0.25">
      <c r="U1" s="21" t="s">
        <v>0</v>
      </c>
    </row>
    <row r="2" spans="1:21" ht="15.75" x14ac:dyDescent="0.25">
      <c r="U2" s="22" t="s">
        <v>1</v>
      </c>
    </row>
    <row r="3" spans="1:21" ht="15.75" x14ac:dyDescent="0.25">
      <c r="U3" s="23" t="s">
        <v>2</v>
      </c>
    </row>
    <row r="4" spans="1:21" ht="15.75" x14ac:dyDescent="0.25">
      <c r="U4" s="23" t="s">
        <v>3</v>
      </c>
    </row>
    <row r="5" spans="1:21" x14ac:dyDescent="0.25">
      <c r="P5" s="4"/>
      <c r="Q5" s="4"/>
      <c r="U5" s="24" t="s">
        <v>4</v>
      </c>
    </row>
    <row r="6" spans="1:21" ht="15.75" thickBot="1" x14ac:dyDescent="0.3">
      <c r="L6" s="3">
        <f>SUBTOTAL(9,L9:L531)</f>
        <v>-18445928.527579993</v>
      </c>
      <c r="M6" s="3">
        <f t="shared" ref="M6:U6" si="0">SUBTOTAL(9,M9:M531)</f>
        <v>-5080557.3999800002</v>
      </c>
      <c r="N6" s="3">
        <f t="shared" si="0"/>
        <v>-15129881.039528498</v>
      </c>
      <c r="O6" s="3">
        <f t="shared" si="0"/>
        <v>-3316047.4880514969</v>
      </c>
      <c r="P6" s="3">
        <f t="shared" si="0"/>
        <v>-3229992.3785414989</v>
      </c>
      <c r="Q6" s="3">
        <f t="shared" si="0"/>
        <v>-3225799.3785414998</v>
      </c>
      <c r="R6" s="3">
        <f t="shared" si="0"/>
        <v>0</v>
      </c>
      <c r="S6" s="3">
        <f t="shared" si="0"/>
        <v>-3225799.3785414998</v>
      </c>
      <c r="T6" s="3">
        <f t="shared" si="0"/>
        <v>0</v>
      </c>
      <c r="U6" s="3">
        <f t="shared" si="0"/>
        <v>-86084.000299999767</v>
      </c>
    </row>
    <row r="7" spans="1:21" ht="47.45" customHeight="1" thickBot="1" x14ac:dyDescent="0.3">
      <c r="F7" s="5"/>
      <c r="G7" s="5"/>
      <c r="J7" s="5"/>
      <c r="K7" s="5"/>
      <c r="L7" s="73" t="s">
        <v>5</v>
      </c>
      <c r="M7" s="74"/>
      <c r="N7" s="74"/>
      <c r="O7" s="74"/>
      <c r="P7" s="75"/>
      <c r="Q7" s="61" t="s">
        <v>6</v>
      </c>
      <c r="R7" s="76"/>
      <c r="S7" s="63"/>
      <c r="T7" s="71" t="s">
        <v>7</v>
      </c>
      <c r="U7" s="72"/>
    </row>
    <row r="8" spans="1:21" ht="83.25" customHeight="1" thickBot="1" x14ac:dyDescent="0.3">
      <c r="A8" s="6" t="s">
        <v>8</v>
      </c>
      <c r="B8" s="6" t="s">
        <v>255</v>
      </c>
      <c r="C8" s="6" t="s">
        <v>256</v>
      </c>
      <c r="D8" s="7" t="s">
        <v>9</v>
      </c>
      <c r="E8" s="8" t="s">
        <v>10</v>
      </c>
      <c r="F8" s="8" t="s">
        <v>11</v>
      </c>
      <c r="G8" s="8" t="s">
        <v>12</v>
      </c>
      <c r="H8" s="7" t="s">
        <v>13</v>
      </c>
      <c r="I8" s="7" t="s">
        <v>14</v>
      </c>
      <c r="J8" s="7" t="s">
        <v>15</v>
      </c>
      <c r="K8" s="7" t="s">
        <v>16</v>
      </c>
      <c r="L8" s="9" t="s">
        <v>17</v>
      </c>
      <c r="M8" s="10" t="s">
        <v>18</v>
      </c>
      <c r="N8" s="10" t="s">
        <v>19</v>
      </c>
      <c r="O8" s="10" t="s">
        <v>20</v>
      </c>
      <c r="P8" s="11" t="s">
        <v>21</v>
      </c>
      <c r="Q8" s="12" t="s">
        <v>22</v>
      </c>
      <c r="R8" s="12" t="s">
        <v>23</v>
      </c>
      <c r="S8" s="12" t="s">
        <v>24</v>
      </c>
      <c r="T8" s="13" t="s">
        <v>25</v>
      </c>
      <c r="U8" s="25" t="s">
        <v>26</v>
      </c>
    </row>
    <row r="9" spans="1:21" hidden="1" x14ac:dyDescent="0.25">
      <c r="A9" s="16" t="s">
        <v>37</v>
      </c>
      <c r="B9" s="16" t="s">
        <v>257</v>
      </c>
      <c r="C9" s="16" t="s">
        <v>258</v>
      </c>
      <c r="D9" s="16" t="s">
        <v>38</v>
      </c>
      <c r="E9" s="16" t="s">
        <v>38</v>
      </c>
      <c r="F9" s="16" t="s">
        <v>38</v>
      </c>
      <c r="G9" s="16" t="s">
        <v>38</v>
      </c>
      <c r="H9" s="16" t="s">
        <v>39</v>
      </c>
      <c r="I9" s="16" t="s">
        <v>40</v>
      </c>
      <c r="J9" s="16" t="s">
        <v>38</v>
      </c>
      <c r="K9" s="16" t="s">
        <v>293</v>
      </c>
      <c r="L9" s="15">
        <v>-3000000</v>
      </c>
      <c r="M9" s="15">
        <v>0</v>
      </c>
      <c r="N9" s="15">
        <v>0</v>
      </c>
      <c r="O9" s="15">
        <v>-3000000</v>
      </c>
      <c r="P9" s="15">
        <v>-3000000</v>
      </c>
      <c r="Q9" s="15">
        <f>P9-R9</f>
        <v>-3000000</v>
      </c>
      <c r="R9" s="15">
        <v>0</v>
      </c>
      <c r="S9" s="15">
        <f>SUM(Q9:R9)</f>
        <v>-3000000</v>
      </c>
      <c r="T9" s="16"/>
      <c r="U9" s="26"/>
    </row>
    <row r="10" spans="1:21" hidden="1" x14ac:dyDescent="0.25">
      <c r="A10" s="16" t="s">
        <v>37</v>
      </c>
      <c r="B10" s="16" t="s">
        <v>257</v>
      </c>
      <c r="C10" s="16" t="s">
        <v>258</v>
      </c>
      <c r="D10" s="16" t="s">
        <v>38</v>
      </c>
      <c r="E10" s="16" t="s">
        <v>38</v>
      </c>
      <c r="F10" s="16" t="s">
        <v>38</v>
      </c>
      <c r="G10" s="16" t="s">
        <v>38</v>
      </c>
      <c r="H10" s="16" t="s">
        <v>39</v>
      </c>
      <c r="I10" s="16" t="s">
        <v>40</v>
      </c>
      <c r="J10" s="16" t="s">
        <v>291</v>
      </c>
      <c r="K10" s="16" t="s">
        <v>292</v>
      </c>
      <c r="L10" s="15">
        <v>-800000</v>
      </c>
      <c r="M10" s="15">
        <v>0</v>
      </c>
      <c r="N10" s="15">
        <v>0</v>
      </c>
      <c r="O10" s="15">
        <v>-800000</v>
      </c>
      <c r="P10" s="15">
        <v>-800000</v>
      </c>
      <c r="Q10" s="15">
        <f t="shared" ref="Q10:Q75" si="1">P10-R10</f>
        <v>-800000</v>
      </c>
      <c r="R10" s="15">
        <v>0</v>
      </c>
      <c r="S10" s="15">
        <f t="shared" ref="S10:S75" si="2">SUM(Q10:R10)</f>
        <v>-800000</v>
      </c>
      <c r="T10" s="16"/>
      <c r="U10" s="26"/>
    </row>
    <row r="11" spans="1:21" hidden="1" x14ac:dyDescent="0.25">
      <c r="A11" s="16" t="s">
        <v>37</v>
      </c>
      <c r="B11" s="16" t="s">
        <v>259</v>
      </c>
      <c r="C11" s="16" t="s">
        <v>260</v>
      </c>
      <c r="D11" s="16" t="s">
        <v>38</v>
      </c>
      <c r="E11" s="16" t="s">
        <v>38</v>
      </c>
      <c r="F11" s="16" t="s">
        <v>38</v>
      </c>
      <c r="G11" s="16" t="s">
        <v>38</v>
      </c>
      <c r="H11" s="16" t="s">
        <v>41</v>
      </c>
      <c r="I11" s="16" t="s">
        <v>40</v>
      </c>
      <c r="J11" s="16" t="s">
        <v>279</v>
      </c>
      <c r="K11" s="16" t="s">
        <v>280</v>
      </c>
      <c r="L11" s="15">
        <v>-22512.409989999996</v>
      </c>
      <c r="M11" s="15">
        <v>-22512.41</v>
      </c>
      <c r="N11" s="15">
        <v>-22499.989999999998</v>
      </c>
      <c r="O11" s="15">
        <v>-12.41998999999123</v>
      </c>
      <c r="P11" s="15">
        <v>0</v>
      </c>
      <c r="Q11" s="15">
        <f t="shared" si="1"/>
        <v>0</v>
      </c>
      <c r="R11" s="15">
        <v>0</v>
      </c>
      <c r="S11" s="15">
        <f t="shared" si="2"/>
        <v>0</v>
      </c>
      <c r="T11" s="16"/>
      <c r="U11" s="16"/>
    </row>
    <row r="12" spans="1:21" hidden="1" x14ac:dyDescent="0.25">
      <c r="A12" s="16" t="s">
        <v>37</v>
      </c>
      <c r="B12" s="16" t="s">
        <v>259</v>
      </c>
      <c r="C12" s="16" t="s">
        <v>260</v>
      </c>
      <c r="D12" s="16" t="s">
        <v>38</v>
      </c>
      <c r="E12" s="16" t="s">
        <v>38</v>
      </c>
      <c r="F12" s="16" t="s">
        <v>38</v>
      </c>
      <c r="G12" s="16" t="s">
        <v>38</v>
      </c>
      <c r="H12" s="16" t="s">
        <v>41</v>
      </c>
      <c r="I12" s="16" t="s">
        <v>40</v>
      </c>
      <c r="J12" s="16" t="s">
        <v>281</v>
      </c>
      <c r="K12" s="16" t="s">
        <v>282</v>
      </c>
      <c r="L12" s="15">
        <v>-1306844.4399899999</v>
      </c>
      <c r="M12" s="15">
        <v>0</v>
      </c>
      <c r="N12" s="15">
        <v>-645979.85960000008</v>
      </c>
      <c r="O12" s="15">
        <v>-660864.58039000002</v>
      </c>
      <c r="P12" s="20">
        <f>-660864.58039+O11</f>
        <v>-660877.00037999998</v>
      </c>
      <c r="Q12" s="15">
        <f t="shared" si="1"/>
        <v>-660877.00037999998</v>
      </c>
      <c r="R12" s="15">
        <v>0</v>
      </c>
      <c r="S12" s="15">
        <f t="shared" si="2"/>
        <v>-660877.00037999998</v>
      </c>
      <c r="T12" s="16"/>
      <c r="U12" s="16"/>
    </row>
    <row r="13" spans="1:21" hidden="1" x14ac:dyDescent="0.25">
      <c r="A13" s="16" t="s">
        <v>37</v>
      </c>
      <c r="B13" s="16" t="s">
        <v>267</v>
      </c>
      <c r="C13" s="16" t="s">
        <v>268</v>
      </c>
      <c r="D13" s="16" t="s">
        <v>38</v>
      </c>
      <c r="E13" s="16" t="s">
        <v>38</v>
      </c>
      <c r="F13" s="16" t="s">
        <v>38</v>
      </c>
      <c r="G13" s="16" t="s">
        <v>38</v>
      </c>
      <c r="H13" s="16" t="s">
        <v>41</v>
      </c>
      <c r="I13" s="16" t="s">
        <v>40</v>
      </c>
      <c r="J13" s="16" t="s">
        <v>281</v>
      </c>
      <c r="K13" s="16" t="s">
        <v>282</v>
      </c>
      <c r="L13" s="15">
        <v>-120000</v>
      </c>
      <c r="M13" s="15">
        <v>-120000</v>
      </c>
      <c r="N13" s="15">
        <v>-13100</v>
      </c>
      <c r="O13" s="15">
        <v>-106900</v>
      </c>
      <c r="P13" s="15">
        <f>O13</f>
        <v>-106900</v>
      </c>
      <c r="Q13" s="15">
        <f t="shared" si="1"/>
        <v>-106900</v>
      </c>
      <c r="R13" s="15">
        <v>0</v>
      </c>
      <c r="S13" s="15">
        <f t="shared" si="2"/>
        <v>-106900</v>
      </c>
      <c r="T13" s="16"/>
      <c r="U13" s="16"/>
    </row>
    <row r="14" spans="1:21" x14ac:dyDescent="0.25">
      <c r="A14" s="16" t="s">
        <v>37</v>
      </c>
      <c r="B14" s="16" t="s">
        <v>269</v>
      </c>
      <c r="C14" s="16" t="s">
        <v>270</v>
      </c>
      <c r="D14" s="16" t="s">
        <v>38</v>
      </c>
      <c r="E14" s="16" t="s">
        <v>38</v>
      </c>
      <c r="F14" s="16" t="s">
        <v>38</v>
      </c>
      <c r="G14" s="16" t="s">
        <v>38</v>
      </c>
      <c r="H14" s="16" t="s">
        <v>41</v>
      </c>
      <c r="I14" s="16" t="s">
        <v>40</v>
      </c>
      <c r="J14" s="16" t="s">
        <v>281</v>
      </c>
      <c r="K14" s="16" t="s">
        <v>282</v>
      </c>
      <c r="L14" s="15">
        <v>-4494568.8699900005</v>
      </c>
      <c r="M14" s="15">
        <v>-1636458.87</v>
      </c>
      <c r="N14" s="15">
        <v>-2700751.7297999999</v>
      </c>
      <c r="O14" s="15">
        <v>-1793817.1401899997</v>
      </c>
      <c r="P14" s="15">
        <v>-1793817.1401899997</v>
      </c>
      <c r="Q14" s="15">
        <f t="shared" si="1"/>
        <v>-1793817.1401899997</v>
      </c>
      <c r="R14" s="15">
        <v>0</v>
      </c>
      <c r="S14" s="15">
        <f t="shared" si="2"/>
        <v>-1793817.1401899997</v>
      </c>
      <c r="T14" s="16"/>
      <c r="U14" s="16"/>
    </row>
    <row r="15" spans="1:21" hidden="1" x14ac:dyDescent="0.25">
      <c r="A15" s="16" t="s">
        <v>37</v>
      </c>
      <c r="B15" s="16" t="s">
        <v>257</v>
      </c>
      <c r="C15" s="16" t="s">
        <v>258</v>
      </c>
      <c r="D15" s="16" t="s">
        <v>38</v>
      </c>
      <c r="E15" s="16" t="s">
        <v>38</v>
      </c>
      <c r="F15" s="16" t="s">
        <v>38</v>
      </c>
      <c r="G15" s="16" t="s">
        <v>38</v>
      </c>
      <c r="H15" s="16" t="s">
        <v>41</v>
      </c>
      <c r="I15" s="16" t="s">
        <v>40</v>
      </c>
      <c r="J15" s="16" t="s">
        <v>281</v>
      </c>
      <c r="K15" s="16" t="s">
        <v>282</v>
      </c>
      <c r="L15" s="15">
        <v>2.0000152289867401E-5</v>
      </c>
      <c r="M15" s="15">
        <v>0</v>
      </c>
      <c r="N15" s="15">
        <v>0</v>
      </c>
      <c r="O15" s="15">
        <v>2.0000152289867401E-5</v>
      </c>
      <c r="P15" s="15">
        <v>0</v>
      </c>
      <c r="Q15" s="15">
        <f t="shared" si="1"/>
        <v>0</v>
      </c>
      <c r="R15" s="15">
        <v>0</v>
      </c>
      <c r="S15" s="15">
        <f t="shared" si="2"/>
        <v>0</v>
      </c>
      <c r="T15" s="16"/>
      <c r="U15" s="26"/>
    </row>
    <row r="16" spans="1:21" hidden="1" x14ac:dyDescent="0.25">
      <c r="A16" s="16" t="s">
        <v>37</v>
      </c>
      <c r="B16" s="16" t="s">
        <v>271</v>
      </c>
      <c r="C16" s="16" t="s">
        <v>272</v>
      </c>
      <c r="D16" s="16" t="s">
        <v>38</v>
      </c>
      <c r="E16" s="16" t="s">
        <v>38</v>
      </c>
      <c r="F16" s="16" t="s">
        <v>38</v>
      </c>
      <c r="G16" s="16" t="s">
        <v>38</v>
      </c>
      <c r="H16" s="16" t="s">
        <v>41</v>
      </c>
      <c r="I16" s="16" t="s">
        <v>40</v>
      </c>
      <c r="J16" s="16" t="s">
        <v>281</v>
      </c>
      <c r="K16" s="16" t="s">
        <v>282</v>
      </c>
      <c r="L16" s="15">
        <v>9.9999888334423304E-6</v>
      </c>
      <c r="M16" s="15">
        <v>0</v>
      </c>
      <c r="N16" s="15">
        <v>0</v>
      </c>
      <c r="O16" s="15">
        <v>9.9999888334423304E-6</v>
      </c>
      <c r="P16" s="15">
        <v>0</v>
      </c>
      <c r="Q16" s="15">
        <f t="shared" si="1"/>
        <v>0</v>
      </c>
      <c r="R16" s="15">
        <v>0</v>
      </c>
      <c r="S16" s="15">
        <f t="shared" si="2"/>
        <v>0</v>
      </c>
      <c r="T16" s="16"/>
      <c r="U16" s="16"/>
    </row>
    <row r="17" spans="1:21" x14ac:dyDescent="0.25">
      <c r="A17" s="16" t="s">
        <v>37</v>
      </c>
      <c r="B17" s="16" t="s">
        <v>269</v>
      </c>
      <c r="C17" s="16" t="s">
        <v>270</v>
      </c>
      <c r="D17" s="16" t="s">
        <v>38</v>
      </c>
      <c r="E17" s="16" t="s">
        <v>38</v>
      </c>
      <c r="F17" s="16" t="s">
        <v>38</v>
      </c>
      <c r="G17" s="16" t="s">
        <v>38</v>
      </c>
      <c r="H17" s="16" t="s">
        <v>41</v>
      </c>
      <c r="I17" s="16" t="s">
        <v>40</v>
      </c>
      <c r="J17" s="16" t="s">
        <v>294</v>
      </c>
      <c r="K17" s="16" t="s">
        <v>295</v>
      </c>
      <c r="L17" s="15">
        <v>-36900</v>
      </c>
      <c r="M17" s="15">
        <v>-36900</v>
      </c>
      <c r="N17" s="15">
        <v>-36900</v>
      </c>
      <c r="O17" s="15">
        <v>0</v>
      </c>
      <c r="P17" s="15">
        <v>0</v>
      </c>
      <c r="Q17" s="15">
        <f t="shared" si="1"/>
        <v>0</v>
      </c>
      <c r="R17" s="15">
        <v>0</v>
      </c>
      <c r="S17" s="15">
        <f t="shared" si="2"/>
        <v>0</v>
      </c>
      <c r="T17" s="16"/>
      <c r="U17" s="16"/>
    </row>
    <row r="18" spans="1:21" hidden="1" x14ac:dyDescent="0.25">
      <c r="A18" s="16" t="s">
        <v>37</v>
      </c>
      <c r="B18" s="16" t="s">
        <v>257</v>
      </c>
      <c r="C18" s="16" t="s">
        <v>258</v>
      </c>
      <c r="D18" s="16" t="s">
        <v>38</v>
      </c>
      <c r="E18" s="16" t="s">
        <v>38</v>
      </c>
      <c r="F18" s="16" t="s">
        <v>38</v>
      </c>
      <c r="G18" s="16" t="s">
        <v>38</v>
      </c>
      <c r="H18" s="16" t="s">
        <v>41</v>
      </c>
      <c r="I18" s="16" t="s">
        <v>40</v>
      </c>
      <c r="J18" s="16" t="s">
        <v>289</v>
      </c>
      <c r="K18" s="16" t="s">
        <v>290</v>
      </c>
      <c r="L18" s="15">
        <v>-15500</v>
      </c>
      <c r="M18" s="15">
        <v>0</v>
      </c>
      <c r="N18" s="15">
        <v>-15500</v>
      </c>
      <c r="O18" s="15">
        <v>1.8189894035458565E-12</v>
      </c>
      <c r="P18" s="15">
        <v>0</v>
      </c>
      <c r="Q18" s="15">
        <f t="shared" si="1"/>
        <v>0</v>
      </c>
      <c r="R18" s="15">
        <v>0</v>
      </c>
      <c r="S18" s="15">
        <f t="shared" si="2"/>
        <v>0</v>
      </c>
      <c r="T18" s="16"/>
      <c r="U18" s="26"/>
    </row>
    <row r="19" spans="1:21" hidden="1" x14ac:dyDescent="0.25">
      <c r="A19" s="16" t="s">
        <v>37</v>
      </c>
      <c r="B19" s="16" t="s">
        <v>271</v>
      </c>
      <c r="C19" s="16" t="s">
        <v>272</v>
      </c>
      <c r="D19" s="16" t="s">
        <v>38</v>
      </c>
      <c r="E19" s="16" t="s">
        <v>38</v>
      </c>
      <c r="F19" s="16" t="s">
        <v>38</v>
      </c>
      <c r="G19" s="16" t="s">
        <v>38</v>
      </c>
      <c r="H19" s="16" t="s">
        <v>41</v>
      </c>
      <c r="I19" s="16" t="s">
        <v>40</v>
      </c>
      <c r="J19" s="16" t="s">
        <v>289</v>
      </c>
      <c r="K19" s="16" t="s">
        <v>290</v>
      </c>
      <c r="L19" s="15">
        <v>-550995</v>
      </c>
      <c r="M19" s="15">
        <v>0</v>
      </c>
      <c r="N19" s="15">
        <v>-140108</v>
      </c>
      <c r="O19" s="15">
        <v>-410887</v>
      </c>
      <c r="P19" s="15">
        <v>-410887</v>
      </c>
      <c r="Q19" s="15">
        <f t="shared" si="1"/>
        <v>-410887</v>
      </c>
      <c r="R19" s="15">
        <v>0</v>
      </c>
      <c r="S19" s="15">
        <f t="shared" si="2"/>
        <v>-410887</v>
      </c>
      <c r="T19" s="16"/>
      <c r="U19" s="16"/>
    </row>
    <row r="20" spans="1:21" hidden="1" x14ac:dyDescent="0.25">
      <c r="A20" s="16" t="s">
        <v>37</v>
      </c>
      <c r="B20" s="16" t="s">
        <v>265</v>
      </c>
      <c r="C20" s="16" t="s">
        <v>266</v>
      </c>
      <c r="D20" s="16" t="s">
        <v>38</v>
      </c>
      <c r="E20" s="16" t="s">
        <v>38</v>
      </c>
      <c r="F20" s="16" t="s">
        <v>38</v>
      </c>
      <c r="G20" s="16" t="s">
        <v>38</v>
      </c>
      <c r="H20" s="16" t="s">
        <v>41</v>
      </c>
      <c r="I20" s="16" t="s">
        <v>40</v>
      </c>
      <c r="J20" s="16" t="s">
        <v>289</v>
      </c>
      <c r="K20" s="16" t="s">
        <v>290</v>
      </c>
      <c r="L20" s="15">
        <v>-236797</v>
      </c>
      <c r="M20" s="15">
        <v>-61794.000000000007</v>
      </c>
      <c r="N20" s="15">
        <v>-236010</v>
      </c>
      <c r="O20" s="15">
        <v>-787.00000000001455</v>
      </c>
      <c r="P20" s="15">
        <v>-787.00000000001455</v>
      </c>
      <c r="Q20" s="15">
        <f t="shared" si="1"/>
        <v>-787.00000000001455</v>
      </c>
      <c r="R20" s="15">
        <v>0</v>
      </c>
      <c r="S20" s="15">
        <f t="shared" si="2"/>
        <v>-787.00000000001455</v>
      </c>
      <c r="T20" s="16"/>
      <c r="U20" s="16"/>
    </row>
    <row r="21" spans="1:21" hidden="1" x14ac:dyDescent="0.25">
      <c r="A21" s="16" t="s">
        <v>37</v>
      </c>
      <c r="B21" s="16" t="s">
        <v>257</v>
      </c>
      <c r="C21" s="16" t="s">
        <v>258</v>
      </c>
      <c r="D21" s="16" t="s">
        <v>38</v>
      </c>
      <c r="E21" s="16" t="s">
        <v>38</v>
      </c>
      <c r="F21" s="16" t="s">
        <v>38</v>
      </c>
      <c r="G21" s="16" t="s">
        <v>38</v>
      </c>
      <c r="H21" s="16" t="s">
        <v>41</v>
      </c>
      <c r="I21" s="16" t="s">
        <v>40</v>
      </c>
      <c r="J21" s="16" t="s">
        <v>285</v>
      </c>
      <c r="K21" s="16" t="s">
        <v>286</v>
      </c>
      <c r="L21" s="15">
        <v>1.2999999671592377E-4</v>
      </c>
      <c r="M21" s="15">
        <v>0</v>
      </c>
      <c r="N21" s="15">
        <v>0</v>
      </c>
      <c r="O21" s="15">
        <v>1.2999999671592377E-4</v>
      </c>
      <c r="P21" s="15">
        <v>0</v>
      </c>
      <c r="Q21" s="15">
        <f t="shared" si="1"/>
        <v>0</v>
      </c>
      <c r="R21" s="15">
        <v>0</v>
      </c>
      <c r="S21" s="15">
        <f t="shared" si="2"/>
        <v>0</v>
      </c>
      <c r="T21" s="16"/>
      <c r="U21" s="26"/>
    </row>
    <row r="22" spans="1:21" hidden="1" x14ac:dyDescent="0.25">
      <c r="A22" s="16" t="s">
        <v>37</v>
      </c>
      <c r="B22" s="16" t="s">
        <v>263</v>
      </c>
      <c r="C22" s="16" t="s">
        <v>264</v>
      </c>
      <c r="D22" s="16" t="s">
        <v>38</v>
      </c>
      <c r="E22" s="16" t="s">
        <v>38</v>
      </c>
      <c r="F22" s="16" t="s">
        <v>38</v>
      </c>
      <c r="G22" s="16" t="s">
        <v>38</v>
      </c>
      <c r="H22" s="16" t="s">
        <v>41</v>
      </c>
      <c r="I22" s="16" t="s">
        <v>40</v>
      </c>
      <c r="J22" s="16" t="s">
        <v>285</v>
      </c>
      <c r="K22" s="16" t="s">
        <v>286</v>
      </c>
      <c r="L22" s="15">
        <v>1.0000000474974513E-4</v>
      </c>
      <c r="M22" s="15">
        <v>0</v>
      </c>
      <c r="N22" s="15">
        <v>0</v>
      </c>
      <c r="O22" s="15">
        <v>1.0000000474974513E-4</v>
      </c>
      <c r="P22" s="15">
        <v>0</v>
      </c>
      <c r="Q22" s="15">
        <f t="shared" si="1"/>
        <v>0</v>
      </c>
      <c r="R22" s="15">
        <v>0</v>
      </c>
      <c r="S22" s="15">
        <f t="shared" si="2"/>
        <v>0</v>
      </c>
      <c r="T22" s="16"/>
      <c r="U22" s="16"/>
    </row>
    <row r="23" spans="1:21" hidden="1" x14ac:dyDescent="0.25">
      <c r="A23" s="16" t="s">
        <v>37</v>
      </c>
      <c r="B23" s="16" t="s">
        <v>261</v>
      </c>
      <c r="C23" s="16" t="s">
        <v>262</v>
      </c>
      <c r="D23" s="16" t="s">
        <v>38</v>
      </c>
      <c r="E23" s="16" t="s">
        <v>38</v>
      </c>
      <c r="F23" s="16" t="s">
        <v>38</v>
      </c>
      <c r="G23" s="16" t="s">
        <v>38</v>
      </c>
      <c r="H23" s="16" t="s">
        <v>41</v>
      </c>
      <c r="I23" s="16" t="s">
        <v>40</v>
      </c>
      <c r="J23" s="16" t="s">
        <v>285</v>
      </c>
      <c r="K23" s="16" t="s">
        <v>286</v>
      </c>
      <c r="L23" s="15">
        <v>-142018.57998999997</v>
      </c>
      <c r="M23" s="15">
        <v>-142018.57999999999</v>
      </c>
      <c r="N23" s="15">
        <v>-141846.09</v>
      </c>
      <c r="O23" s="15">
        <v>-172.4899899999582</v>
      </c>
      <c r="P23" s="15">
        <f>O23</f>
        <v>-172.4899899999582</v>
      </c>
      <c r="Q23" s="15">
        <f t="shared" si="1"/>
        <v>-172.4899899999582</v>
      </c>
      <c r="R23" s="15">
        <v>0</v>
      </c>
      <c r="S23" s="15">
        <f t="shared" si="2"/>
        <v>-172.4899899999582</v>
      </c>
      <c r="T23" s="16"/>
      <c r="U23" s="16"/>
    </row>
    <row r="24" spans="1:21" hidden="1" x14ac:dyDescent="0.25">
      <c r="A24" s="16" t="s">
        <v>37</v>
      </c>
      <c r="B24" s="16" t="s">
        <v>265</v>
      </c>
      <c r="C24" s="16" t="s">
        <v>266</v>
      </c>
      <c r="D24" s="16" t="s">
        <v>38</v>
      </c>
      <c r="E24" s="16" t="s">
        <v>38</v>
      </c>
      <c r="F24" s="16" t="s">
        <v>38</v>
      </c>
      <c r="G24" s="16" t="s">
        <v>38</v>
      </c>
      <c r="H24" s="16" t="s">
        <v>41</v>
      </c>
      <c r="I24" s="16" t="s">
        <v>40</v>
      </c>
      <c r="J24" s="16" t="s">
        <v>285</v>
      </c>
      <c r="K24" s="16" t="s">
        <v>286</v>
      </c>
      <c r="L24" s="15">
        <v>-35000</v>
      </c>
      <c r="M24" s="15">
        <v>0</v>
      </c>
      <c r="N24" s="15">
        <v>-34879.999999999993</v>
      </c>
      <c r="O24" s="15">
        <v>-120.00000000000364</v>
      </c>
      <c r="P24" s="15">
        <v>-120.00000000000364</v>
      </c>
      <c r="Q24" s="15">
        <f t="shared" si="1"/>
        <v>-120.00000000000364</v>
      </c>
      <c r="R24" s="15">
        <v>0</v>
      </c>
      <c r="S24" s="15">
        <f t="shared" si="2"/>
        <v>-120.00000000000364</v>
      </c>
      <c r="T24" s="16"/>
      <c r="U24" s="16"/>
    </row>
    <row r="25" spans="1:21" hidden="1" x14ac:dyDescent="0.25">
      <c r="A25" s="16" t="s">
        <v>37</v>
      </c>
      <c r="B25" s="16" t="s">
        <v>265</v>
      </c>
      <c r="C25" s="16" t="s">
        <v>266</v>
      </c>
      <c r="D25" s="16" t="s">
        <v>38</v>
      </c>
      <c r="E25" s="16" t="s">
        <v>38</v>
      </c>
      <c r="F25" s="16" t="s">
        <v>38</v>
      </c>
      <c r="G25" s="16" t="s">
        <v>38</v>
      </c>
      <c r="H25" s="16" t="s">
        <v>41</v>
      </c>
      <c r="I25" s="16" t="s">
        <v>40</v>
      </c>
      <c r="J25" s="16" t="s">
        <v>283</v>
      </c>
      <c r="K25" s="16" t="s">
        <v>284</v>
      </c>
      <c r="L25" s="15">
        <v>-16013</v>
      </c>
      <c r="M25" s="15">
        <v>-16013</v>
      </c>
      <c r="N25" s="15">
        <v>-16013</v>
      </c>
      <c r="O25" s="15">
        <v>0</v>
      </c>
      <c r="P25" s="15">
        <v>0</v>
      </c>
      <c r="Q25" s="15">
        <f t="shared" si="1"/>
        <v>0</v>
      </c>
      <c r="R25" s="15">
        <v>0</v>
      </c>
      <c r="S25" s="15">
        <f t="shared" si="2"/>
        <v>0</v>
      </c>
      <c r="T25" s="16"/>
      <c r="U25" s="16"/>
    </row>
    <row r="26" spans="1:21" hidden="1" x14ac:dyDescent="0.25">
      <c r="A26" s="16" t="s">
        <v>37</v>
      </c>
      <c r="B26" s="16" t="s">
        <v>259</v>
      </c>
      <c r="C26" s="16" t="s">
        <v>260</v>
      </c>
      <c r="D26" s="16" t="s">
        <v>38</v>
      </c>
      <c r="E26" s="16" t="s">
        <v>38</v>
      </c>
      <c r="F26" s="16" t="s">
        <v>38</v>
      </c>
      <c r="G26" s="16" t="s">
        <v>38</v>
      </c>
      <c r="H26" s="16" t="s">
        <v>41</v>
      </c>
      <c r="I26" s="16" t="s">
        <v>40</v>
      </c>
      <c r="J26" s="16" t="s">
        <v>283</v>
      </c>
      <c r="K26" s="16" t="s">
        <v>284</v>
      </c>
      <c r="L26" s="15">
        <v>-50760.000000000015</v>
      </c>
      <c r="M26" s="15">
        <v>0</v>
      </c>
      <c r="N26" s="15">
        <v>0</v>
      </c>
      <c r="O26" s="15">
        <v>-50760.000000000015</v>
      </c>
      <c r="P26" s="15">
        <v>-50760.000000000015</v>
      </c>
      <c r="Q26" s="15">
        <f t="shared" si="1"/>
        <v>-50760.000000000015</v>
      </c>
      <c r="R26" s="15">
        <v>0</v>
      </c>
      <c r="S26" s="15">
        <f t="shared" si="2"/>
        <v>-50760.000000000015</v>
      </c>
      <c r="T26" s="16"/>
      <c r="U26" s="16"/>
    </row>
    <row r="27" spans="1:21" hidden="1" x14ac:dyDescent="0.25">
      <c r="A27" s="16" t="s">
        <v>37</v>
      </c>
      <c r="B27" s="16" t="s">
        <v>267</v>
      </c>
      <c r="C27" s="16" t="s">
        <v>268</v>
      </c>
      <c r="D27" s="16" t="s">
        <v>38</v>
      </c>
      <c r="E27" s="16" t="s">
        <v>38</v>
      </c>
      <c r="F27" s="16" t="s">
        <v>38</v>
      </c>
      <c r="G27" s="16" t="s">
        <v>38</v>
      </c>
      <c r="H27" s="16" t="s">
        <v>41</v>
      </c>
      <c r="I27" s="16" t="s">
        <v>40</v>
      </c>
      <c r="J27" s="16" t="s">
        <v>283</v>
      </c>
      <c r="K27" s="16" t="s">
        <v>284</v>
      </c>
      <c r="L27" s="15">
        <v>-579018.99998999992</v>
      </c>
      <c r="M27" s="15">
        <v>-519018.99998999998</v>
      </c>
      <c r="N27" s="15">
        <v>-57349</v>
      </c>
      <c r="O27" s="15">
        <v>-521669.99998999998</v>
      </c>
      <c r="P27" s="15">
        <f>O27</f>
        <v>-521669.99998999998</v>
      </c>
      <c r="Q27" s="15">
        <f t="shared" si="1"/>
        <v>-521669.99998999998</v>
      </c>
      <c r="R27" s="15">
        <v>0</v>
      </c>
      <c r="S27" s="15">
        <f t="shared" si="2"/>
        <v>-521669.99998999998</v>
      </c>
      <c r="T27" s="16"/>
      <c r="U27" s="16"/>
    </row>
    <row r="28" spans="1:21" hidden="1" x14ac:dyDescent="0.25">
      <c r="A28" s="16" t="s">
        <v>37</v>
      </c>
      <c r="B28" s="16" t="s">
        <v>267</v>
      </c>
      <c r="C28" s="16" t="s">
        <v>268</v>
      </c>
      <c r="D28" s="16" t="s">
        <v>38</v>
      </c>
      <c r="E28" s="16" t="s">
        <v>38</v>
      </c>
      <c r="F28" s="16" t="s">
        <v>38</v>
      </c>
      <c r="G28" s="16" t="s">
        <v>38</v>
      </c>
      <c r="H28" s="16" t="s">
        <v>41</v>
      </c>
      <c r="I28" s="16" t="s">
        <v>40</v>
      </c>
      <c r="J28" s="16" t="s">
        <v>42</v>
      </c>
      <c r="K28" s="16" t="s">
        <v>43</v>
      </c>
      <c r="L28" s="15">
        <v>-428863.37</v>
      </c>
      <c r="M28" s="15">
        <v>-53863.37</v>
      </c>
      <c r="N28" s="15">
        <v>-35035.869700000025</v>
      </c>
      <c r="O28" s="15">
        <v>-393827.50029999996</v>
      </c>
      <c r="P28" s="15">
        <v>-375000</v>
      </c>
      <c r="Q28" s="15">
        <f t="shared" si="1"/>
        <v>-375000</v>
      </c>
      <c r="R28" s="15">
        <v>0</v>
      </c>
      <c r="S28" s="15">
        <f t="shared" si="2"/>
        <v>-375000</v>
      </c>
      <c r="T28" s="16"/>
      <c r="U28" s="16"/>
    </row>
    <row r="29" spans="1:21" hidden="1" x14ac:dyDescent="0.25">
      <c r="A29" s="16" t="s">
        <v>37</v>
      </c>
      <c r="B29" s="16" t="s">
        <v>271</v>
      </c>
      <c r="C29" s="16" t="s">
        <v>272</v>
      </c>
      <c r="D29" s="16" t="s">
        <v>38</v>
      </c>
      <c r="E29" s="16" t="s">
        <v>38</v>
      </c>
      <c r="F29" s="16" t="s">
        <v>38</v>
      </c>
      <c r="G29" s="16" t="s">
        <v>38</v>
      </c>
      <c r="H29" s="16" t="s">
        <v>41</v>
      </c>
      <c r="I29" s="16" t="s">
        <v>40</v>
      </c>
      <c r="J29" s="16" t="s">
        <v>44</v>
      </c>
      <c r="K29" s="16" t="s">
        <v>45</v>
      </c>
      <c r="L29" s="15">
        <v>-94166.999989998993</v>
      </c>
      <c r="M29" s="15">
        <v>-94167</v>
      </c>
      <c r="N29" s="15">
        <v>0</v>
      </c>
      <c r="O29" s="15">
        <v>-94166.999989998993</v>
      </c>
      <c r="P29" s="15">
        <v>0</v>
      </c>
      <c r="Q29" s="15">
        <f t="shared" si="1"/>
        <v>0</v>
      </c>
      <c r="R29" s="15">
        <v>0</v>
      </c>
      <c r="S29" s="15">
        <f t="shared" si="2"/>
        <v>0</v>
      </c>
      <c r="T29" s="16"/>
      <c r="U29" s="16"/>
    </row>
    <row r="30" spans="1:21" hidden="1" x14ac:dyDescent="0.25">
      <c r="A30" s="16" t="s">
        <v>37</v>
      </c>
      <c r="B30" s="16" t="s">
        <v>259</v>
      </c>
      <c r="C30" s="16" t="s">
        <v>260</v>
      </c>
      <c r="D30" s="16" t="s">
        <v>38</v>
      </c>
      <c r="E30" s="16" t="s">
        <v>38</v>
      </c>
      <c r="F30" s="16" t="s">
        <v>38</v>
      </c>
      <c r="G30" s="16" t="s">
        <v>38</v>
      </c>
      <c r="H30" s="16" t="s">
        <v>41</v>
      </c>
      <c r="I30" s="16" t="s">
        <v>40</v>
      </c>
      <c r="J30" s="16" t="s">
        <v>44</v>
      </c>
      <c r="K30" s="16" t="s">
        <v>45</v>
      </c>
      <c r="L30" s="15">
        <v>-0.3299000000115484</v>
      </c>
      <c r="M30" s="15">
        <v>0</v>
      </c>
      <c r="N30" s="15">
        <v>0</v>
      </c>
      <c r="O30" s="15">
        <v>-0.3299000000115484</v>
      </c>
      <c r="P30" s="15">
        <v>-0.3299000000115484</v>
      </c>
      <c r="Q30" s="15">
        <f t="shared" si="1"/>
        <v>-0.3299000000115484</v>
      </c>
      <c r="R30" s="15">
        <v>0</v>
      </c>
      <c r="S30" s="15">
        <f t="shared" si="2"/>
        <v>-0.3299000000115484</v>
      </c>
      <c r="T30" s="16"/>
      <c r="U30" s="16"/>
    </row>
    <row r="31" spans="1:21" hidden="1" x14ac:dyDescent="0.25">
      <c r="A31" s="16" t="s">
        <v>37</v>
      </c>
      <c r="B31" s="16" t="s">
        <v>259</v>
      </c>
      <c r="C31" s="16" t="s">
        <v>260</v>
      </c>
      <c r="D31" s="16" t="s">
        <v>38</v>
      </c>
      <c r="E31" s="16" t="s">
        <v>38</v>
      </c>
      <c r="F31" s="16" t="s">
        <v>38</v>
      </c>
      <c r="G31" s="16" t="s">
        <v>38</v>
      </c>
      <c r="H31" s="16" t="s">
        <v>41</v>
      </c>
      <c r="I31" s="16" t="s">
        <v>40</v>
      </c>
      <c r="J31" s="16" t="s">
        <v>46</v>
      </c>
      <c r="K31" s="16" t="s">
        <v>47</v>
      </c>
      <c r="L31" s="15">
        <v>-1060350.0001999999</v>
      </c>
      <c r="M31" s="15">
        <v>-60350.000200000002</v>
      </c>
      <c r="N31" s="15">
        <v>-580000</v>
      </c>
      <c r="O31" s="15">
        <v>-480350.00020000001</v>
      </c>
      <c r="P31" s="15">
        <v>-480350.00020000001</v>
      </c>
      <c r="Q31" s="15">
        <f t="shared" si="1"/>
        <v>-2.0000000949949026E-4</v>
      </c>
      <c r="R31" s="15">
        <v>-480350</v>
      </c>
      <c r="S31" s="15">
        <f t="shared" si="2"/>
        <v>-480350.00020000001</v>
      </c>
      <c r="T31" s="16"/>
      <c r="U31" s="16"/>
    </row>
    <row r="32" spans="1:21" hidden="1" x14ac:dyDescent="0.25">
      <c r="A32" s="16" t="s">
        <v>37</v>
      </c>
      <c r="B32" s="16" t="s">
        <v>259</v>
      </c>
      <c r="C32" s="16" t="s">
        <v>260</v>
      </c>
      <c r="D32" s="16" t="s">
        <v>38</v>
      </c>
      <c r="E32" s="16" t="s">
        <v>38</v>
      </c>
      <c r="F32" s="16" t="s">
        <v>38</v>
      </c>
      <c r="G32" s="16" t="s">
        <v>38</v>
      </c>
      <c r="H32" s="16" t="s">
        <v>41</v>
      </c>
      <c r="I32" s="16" t="s">
        <v>40</v>
      </c>
      <c r="J32" s="16" t="s">
        <v>48</v>
      </c>
      <c r="K32" s="16" t="s">
        <v>49</v>
      </c>
      <c r="L32" s="15">
        <v>-69371582.579970002</v>
      </c>
      <c r="M32" s="15">
        <v>0</v>
      </c>
      <c r="N32" s="15">
        <v>-57326710.467999995</v>
      </c>
      <c r="O32" s="15">
        <v>-12044872.11197</v>
      </c>
      <c r="P32" s="15">
        <v>-12044872.11197</v>
      </c>
      <c r="Q32" s="15">
        <f t="shared" si="1"/>
        <v>-12044872.11197</v>
      </c>
      <c r="R32" s="15">
        <v>0</v>
      </c>
      <c r="S32" s="15">
        <f t="shared" si="2"/>
        <v>-12044872.11197</v>
      </c>
      <c r="T32" s="16"/>
      <c r="U32" s="16"/>
    </row>
    <row r="33" spans="1:21" hidden="1" x14ac:dyDescent="0.25">
      <c r="A33" s="16" t="s">
        <v>37</v>
      </c>
      <c r="B33" s="16" t="s">
        <v>259</v>
      </c>
      <c r="C33" s="16" t="s">
        <v>260</v>
      </c>
      <c r="D33" s="16" t="s">
        <v>38</v>
      </c>
      <c r="E33" s="16" t="s">
        <v>38</v>
      </c>
      <c r="F33" s="16" t="s">
        <v>38</v>
      </c>
      <c r="G33" s="16" t="s">
        <v>38</v>
      </c>
      <c r="H33" s="16" t="s">
        <v>41</v>
      </c>
      <c r="I33" s="16" t="s">
        <v>40</v>
      </c>
      <c r="J33" s="16" t="s">
        <v>50</v>
      </c>
      <c r="K33" s="16" t="s">
        <v>51</v>
      </c>
      <c r="L33" s="15">
        <v>-725064.27</v>
      </c>
      <c r="M33" s="15">
        <v>-325064.27</v>
      </c>
      <c r="N33" s="15">
        <v>-230057.38990000001</v>
      </c>
      <c r="O33" s="15">
        <v>-495006.88010000007</v>
      </c>
      <c r="P33" s="15">
        <v>-400000</v>
      </c>
      <c r="Q33" s="15">
        <f t="shared" si="1"/>
        <v>0</v>
      </c>
      <c r="R33" s="15">
        <v>-400000</v>
      </c>
      <c r="S33" s="15">
        <f t="shared" si="2"/>
        <v>-400000</v>
      </c>
      <c r="T33" s="16"/>
      <c r="U33" s="16"/>
    </row>
    <row r="34" spans="1:21" hidden="1" x14ac:dyDescent="0.25">
      <c r="A34" s="16" t="s">
        <v>37</v>
      </c>
      <c r="B34" s="16" t="s">
        <v>259</v>
      </c>
      <c r="C34" s="16" t="s">
        <v>260</v>
      </c>
      <c r="D34" s="16" t="s">
        <v>38</v>
      </c>
      <c r="E34" s="16" t="s">
        <v>38</v>
      </c>
      <c r="F34" s="16" t="s">
        <v>38</v>
      </c>
      <c r="G34" s="16" t="s">
        <v>38</v>
      </c>
      <c r="H34" s="16" t="s">
        <v>41</v>
      </c>
      <c r="I34" s="16" t="s">
        <v>40</v>
      </c>
      <c r="J34" s="16" t="s">
        <v>52</v>
      </c>
      <c r="K34" s="16" t="s">
        <v>53</v>
      </c>
      <c r="L34" s="15">
        <v>-423058.6</v>
      </c>
      <c r="M34" s="15">
        <v>0</v>
      </c>
      <c r="N34" s="15">
        <v>-349068.48</v>
      </c>
      <c r="O34" s="15">
        <v>-73990.12</v>
      </c>
      <c r="P34" s="15">
        <v>-73990.12</v>
      </c>
      <c r="Q34" s="15">
        <f t="shared" si="1"/>
        <v>-73990.12</v>
      </c>
      <c r="R34" s="15">
        <v>0</v>
      </c>
      <c r="S34" s="15">
        <f t="shared" si="2"/>
        <v>-73990.12</v>
      </c>
      <c r="T34" s="16"/>
      <c r="U34" s="16"/>
    </row>
    <row r="35" spans="1:21" hidden="1" x14ac:dyDescent="0.25">
      <c r="A35" s="16" t="s">
        <v>37</v>
      </c>
      <c r="B35" s="16" t="s">
        <v>259</v>
      </c>
      <c r="C35" s="16" t="s">
        <v>260</v>
      </c>
      <c r="D35" s="16" t="s">
        <v>38</v>
      </c>
      <c r="E35" s="16" t="s">
        <v>38</v>
      </c>
      <c r="F35" s="16" t="s">
        <v>38</v>
      </c>
      <c r="G35" s="16" t="s">
        <v>38</v>
      </c>
      <c r="H35" s="16" t="s">
        <v>41</v>
      </c>
      <c r="I35" s="16" t="s">
        <v>40</v>
      </c>
      <c r="J35" s="16" t="s">
        <v>54</v>
      </c>
      <c r="K35" s="16" t="s">
        <v>55</v>
      </c>
      <c r="L35" s="15">
        <v>-2545882.2710000002</v>
      </c>
      <c r="M35" s="15">
        <v>-45882.271000000001</v>
      </c>
      <c r="N35" s="15">
        <v>-1169507.3</v>
      </c>
      <c r="O35" s="15">
        <v>-1376374.9710000004</v>
      </c>
      <c r="P35" s="15">
        <v>-1376374.9710000004</v>
      </c>
      <c r="Q35" s="15">
        <f t="shared" si="1"/>
        <v>-1376374.9710000004</v>
      </c>
      <c r="R35" s="15">
        <v>0</v>
      </c>
      <c r="S35" s="15">
        <f t="shared" si="2"/>
        <v>-1376374.9710000004</v>
      </c>
      <c r="T35" s="16"/>
      <c r="U35" s="16"/>
    </row>
    <row r="36" spans="1:21" hidden="1" x14ac:dyDescent="0.25">
      <c r="A36" s="16" t="s">
        <v>37</v>
      </c>
      <c r="B36" s="16" t="s">
        <v>259</v>
      </c>
      <c r="C36" s="16" t="s">
        <v>260</v>
      </c>
      <c r="D36" s="16" t="s">
        <v>38</v>
      </c>
      <c r="E36" s="16" t="s">
        <v>38</v>
      </c>
      <c r="F36" s="16" t="s">
        <v>38</v>
      </c>
      <c r="G36" s="16" t="s">
        <v>38</v>
      </c>
      <c r="H36" s="16" t="s">
        <v>41</v>
      </c>
      <c r="I36" s="16" t="s">
        <v>40</v>
      </c>
      <c r="J36" s="16" t="s">
        <v>56</v>
      </c>
      <c r="K36" s="16" t="s">
        <v>57</v>
      </c>
      <c r="L36" s="15">
        <v>1.0000000474974513E-4</v>
      </c>
      <c r="M36" s="15">
        <v>0</v>
      </c>
      <c r="N36" s="15">
        <v>0</v>
      </c>
      <c r="O36" s="15">
        <v>1.0000000474974513E-4</v>
      </c>
      <c r="P36" s="15">
        <v>0</v>
      </c>
      <c r="Q36" s="15">
        <f t="shared" si="1"/>
        <v>0</v>
      </c>
      <c r="R36" s="15">
        <v>0</v>
      </c>
      <c r="S36" s="15">
        <f t="shared" si="2"/>
        <v>0</v>
      </c>
      <c r="T36" s="16"/>
      <c r="U36" s="16"/>
    </row>
    <row r="37" spans="1:21" hidden="1" x14ac:dyDescent="0.25">
      <c r="A37" s="16" t="s">
        <v>37</v>
      </c>
      <c r="B37" s="16" t="s">
        <v>271</v>
      </c>
      <c r="C37" s="16" t="s">
        <v>272</v>
      </c>
      <c r="D37" s="16" t="s">
        <v>38</v>
      </c>
      <c r="E37" s="16" t="s">
        <v>38</v>
      </c>
      <c r="F37" s="16" t="s">
        <v>38</v>
      </c>
      <c r="G37" s="16" t="s">
        <v>38</v>
      </c>
      <c r="H37" s="16" t="s">
        <v>41</v>
      </c>
      <c r="I37" s="16" t="s">
        <v>40</v>
      </c>
      <c r="J37" s="16" t="s">
        <v>56</v>
      </c>
      <c r="K37" s="16" t="s">
        <v>57</v>
      </c>
      <c r="L37" s="15">
        <v>-166666.99999000001</v>
      </c>
      <c r="M37" s="15">
        <v>-166667</v>
      </c>
      <c r="N37" s="15">
        <v>-96920</v>
      </c>
      <c r="O37" s="15">
        <v>-69746.999990000011</v>
      </c>
      <c r="P37" s="15">
        <v>0</v>
      </c>
      <c r="Q37" s="15">
        <f t="shared" si="1"/>
        <v>0</v>
      </c>
      <c r="R37" s="15">
        <v>0</v>
      </c>
      <c r="S37" s="15">
        <f t="shared" si="2"/>
        <v>0</v>
      </c>
      <c r="T37" s="16"/>
      <c r="U37" s="16"/>
    </row>
    <row r="38" spans="1:21" hidden="1" x14ac:dyDescent="0.25">
      <c r="A38" s="16" t="s">
        <v>37</v>
      </c>
      <c r="B38" s="16" t="s">
        <v>271</v>
      </c>
      <c r="C38" s="16" t="s">
        <v>272</v>
      </c>
      <c r="D38" s="16" t="s">
        <v>38</v>
      </c>
      <c r="E38" s="16" t="s">
        <v>38</v>
      </c>
      <c r="F38" s="16" t="s">
        <v>38</v>
      </c>
      <c r="G38" s="16" t="s">
        <v>38</v>
      </c>
      <c r="H38" s="16" t="s">
        <v>41</v>
      </c>
      <c r="I38" s="16" t="s">
        <v>40</v>
      </c>
      <c r="J38" s="16" t="s">
        <v>58</v>
      </c>
      <c r="K38" s="16" t="s">
        <v>59</v>
      </c>
      <c r="L38" s="15">
        <v>-307367</v>
      </c>
      <c r="M38" s="15">
        <v>0</v>
      </c>
      <c r="N38" s="15">
        <v>-8988</v>
      </c>
      <c r="O38" s="15">
        <v>-298379</v>
      </c>
      <c r="P38" s="15">
        <v>-298379</v>
      </c>
      <c r="Q38" s="15">
        <f t="shared" si="1"/>
        <v>8988</v>
      </c>
      <c r="R38" s="15">
        <v>-307367</v>
      </c>
      <c r="S38" s="15">
        <f t="shared" si="2"/>
        <v>-298379</v>
      </c>
      <c r="T38" s="16"/>
      <c r="U38" s="16"/>
    </row>
    <row r="39" spans="1:21" hidden="1" x14ac:dyDescent="0.25">
      <c r="A39" s="16" t="s">
        <v>37</v>
      </c>
      <c r="B39" s="16" t="s">
        <v>263</v>
      </c>
      <c r="C39" s="16" t="s">
        <v>264</v>
      </c>
      <c r="D39" s="16" t="s">
        <v>38</v>
      </c>
      <c r="E39" s="16" t="s">
        <v>38</v>
      </c>
      <c r="F39" s="16" t="s">
        <v>38</v>
      </c>
      <c r="G39" s="16" t="s">
        <v>38</v>
      </c>
      <c r="H39" s="16" t="s">
        <v>41</v>
      </c>
      <c r="I39" s="16" t="s">
        <v>40</v>
      </c>
      <c r="J39" s="16" t="s">
        <v>273</v>
      </c>
      <c r="K39" s="16" t="s">
        <v>274</v>
      </c>
      <c r="L39" s="15">
        <v>2.0000006770715117E-5</v>
      </c>
      <c r="M39" s="15">
        <v>2.0000006770715117E-5</v>
      </c>
      <c r="N39" s="15">
        <v>0</v>
      </c>
      <c r="O39" s="15">
        <v>2.0000006770715117E-5</v>
      </c>
      <c r="P39" s="15">
        <v>2.0000006770715117E-5</v>
      </c>
      <c r="Q39" s="15">
        <f t="shared" si="1"/>
        <v>2.0000006770715117E-5</v>
      </c>
      <c r="R39" s="15">
        <v>0</v>
      </c>
      <c r="S39" s="15">
        <f t="shared" si="2"/>
        <v>2.0000006770715117E-5</v>
      </c>
      <c r="T39" s="16"/>
      <c r="U39" s="16"/>
    </row>
    <row r="40" spans="1:21" x14ac:dyDescent="0.25">
      <c r="A40" s="16" t="s">
        <v>37</v>
      </c>
      <c r="B40" s="16" t="s">
        <v>269</v>
      </c>
      <c r="C40" s="16" t="s">
        <v>270</v>
      </c>
      <c r="D40" s="16" t="s">
        <v>38</v>
      </c>
      <c r="E40" s="16" t="s">
        <v>38</v>
      </c>
      <c r="F40" s="16" t="s">
        <v>38</v>
      </c>
      <c r="G40" s="16" t="s">
        <v>38</v>
      </c>
      <c r="H40" s="16" t="s">
        <v>41</v>
      </c>
      <c r="I40" s="16" t="s">
        <v>40</v>
      </c>
      <c r="J40" s="16" t="s">
        <v>60</v>
      </c>
      <c r="K40" s="16" t="s">
        <v>61</v>
      </c>
      <c r="L40" s="15">
        <v>-4194</v>
      </c>
      <c r="M40" s="15">
        <v>-4194</v>
      </c>
      <c r="N40" s="15">
        <v>0</v>
      </c>
      <c r="O40" s="15">
        <v>-4194</v>
      </c>
      <c r="P40" s="15">
        <v>-4194</v>
      </c>
      <c r="Q40" s="15">
        <v>0</v>
      </c>
      <c r="R40" s="15">
        <v>0</v>
      </c>
      <c r="S40" s="15">
        <f t="shared" si="2"/>
        <v>0</v>
      </c>
      <c r="T40" s="16"/>
      <c r="U40" s="15">
        <v>-4194</v>
      </c>
    </row>
    <row r="41" spans="1:21" hidden="1" x14ac:dyDescent="0.25">
      <c r="A41" s="16" t="s">
        <v>37</v>
      </c>
      <c r="B41" s="16" t="s">
        <v>259</v>
      </c>
      <c r="C41" s="16" t="s">
        <v>260</v>
      </c>
      <c r="D41" s="16" t="s">
        <v>38</v>
      </c>
      <c r="E41" s="16" t="s">
        <v>38</v>
      </c>
      <c r="F41" s="16" t="s">
        <v>38</v>
      </c>
      <c r="G41" s="16" t="s">
        <v>38</v>
      </c>
      <c r="H41" s="16" t="s">
        <v>41</v>
      </c>
      <c r="I41" s="16" t="s">
        <v>40</v>
      </c>
      <c r="J41" s="16" t="s">
        <v>287</v>
      </c>
      <c r="K41" s="16" t="s">
        <v>288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f t="shared" si="1"/>
        <v>195958</v>
      </c>
      <c r="R41" s="15">
        <v>-195958</v>
      </c>
      <c r="S41" s="15">
        <f t="shared" si="2"/>
        <v>0</v>
      </c>
      <c r="T41" s="16"/>
      <c r="U41" s="16"/>
    </row>
    <row r="42" spans="1:21" hidden="1" x14ac:dyDescent="0.25">
      <c r="A42" s="16" t="s">
        <v>37</v>
      </c>
      <c r="B42" s="16" t="s">
        <v>267</v>
      </c>
      <c r="C42" s="16" t="s">
        <v>268</v>
      </c>
      <c r="D42" s="16" t="s">
        <v>38</v>
      </c>
      <c r="E42" s="16" t="s">
        <v>38</v>
      </c>
      <c r="F42" s="16" t="s">
        <v>38</v>
      </c>
      <c r="G42" s="16" t="s">
        <v>38</v>
      </c>
      <c r="H42" s="16" t="s">
        <v>41</v>
      </c>
      <c r="I42" s="16" t="s">
        <v>40</v>
      </c>
      <c r="J42" s="16" t="s">
        <v>62</v>
      </c>
      <c r="K42" s="16" t="s">
        <v>63</v>
      </c>
      <c r="L42" s="15">
        <v>-50000</v>
      </c>
      <c r="M42" s="15">
        <v>-50000</v>
      </c>
      <c r="N42" s="15">
        <v>-41125</v>
      </c>
      <c r="O42" s="15">
        <v>-8875</v>
      </c>
      <c r="P42" s="15">
        <v>0</v>
      </c>
      <c r="Q42" s="15">
        <f t="shared" si="1"/>
        <v>0</v>
      </c>
      <c r="R42" s="15">
        <v>0</v>
      </c>
      <c r="S42" s="15">
        <f t="shared" si="2"/>
        <v>0</v>
      </c>
      <c r="T42" s="16"/>
      <c r="U42" s="15">
        <v>-8875</v>
      </c>
    </row>
    <row r="43" spans="1:21" x14ac:dyDescent="0.25">
      <c r="A43" s="16" t="s">
        <v>37</v>
      </c>
      <c r="B43" s="16" t="s">
        <v>269</v>
      </c>
      <c r="C43" s="16" t="s">
        <v>270</v>
      </c>
      <c r="D43" s="16" t="s">
        <v>38</v>
      </c>
      <c r="E43" s="16" t="s">
        <v>38</v>
      </c>
      <c r="F43" s="16" t="s">
        <v>38</v>
      </c>
      <c r="G43" s="16" t="s">
        <v>38</v>
      </c>
      <c r="H43" s="16" t="s">
        <v>41</v>
      </c>
      <c r="I43" s="16" t="s">
        <v>40</v>
      </c>
      <c r="J43" s="16" t="s">
        <v>64</v>
      </c>
      <c r="K43" s="16" t="s">
        <v>65</v>
      </c>
      <c r="L43" s="15">
        <v>-540000</v>
      </c>
      <c r="M43" s="15">
        <v>0</v>
      </c>
      <c r="N43" s="15">
        <v>-35564.000000000015</v>
      </c>
      <c r="O43" s="15">
        <v>-504436</v>
      </c>
      <c r="P43" s="15">
        <v>-504436</v>
      </c>
      <c r="Q43" s="15">
        <f t="shared" si="1"/>
        <v>-504436</v>
      </c>
      <c r="R43" s="15">
        <v>0</v>
      </c>
      <c r="S43" s="15">
        <f>SUM(Q43:R43)</f>
        <v>-504436</v>
      </c>
      <c r="T43" s="16"/>
      <c r="U43" s="16"/>
    </row>
    <row r="44" spans="1:21" x14ac:dyDescent="0.25">
      <c r="A44" s="16" t="s">
        <v>37</v>
      </c>
      <c r="B44" s="16" t="s">
        <v>269</v>
      </c>
      <c r="C44" s="16" t="s">
        <v>270</v>
      </c>
      <c r="D44" s="16" t="s">
        <v>38</v>
      </c>
      <c r="E44" s="16" t="s">
        <v>38</v>
      </c>
      <c r="F44" s="16" t="s">
        <v>38</v>
      </c>
      <c r="G44" s="16" t="s">
        <v>38</v>
      </c>
      <c r="H44" s="16" t="s">
        <v>41</v>
      </c>
      <c r="I44" s="16" t="s">
        <v>40</v>
      </c>
      <c r="J44" s="16" t="s">
        <v>66</v>
      </c>
      <c r="K44" s="16" t="s">
        <v>63</v>
      </c>
      <c r="L44" s="15">
        <v>-1284527.18</v>
      </c>
      <c r="M44" s="15">
        <v>-1284527.18</v>
      </c>
      <c r="N44" s="15">
        <v>-1284527.1800000002</v>
      </c>
      <c r="O44" s="15">
        <v>1.1641532182693481E-10</v>
      </c>
      <c r="P44" s="15">
        <v>0</v>
      </c>
      <c r="Q44" s="15">
        <f t="shared" si="1"/>
        <v>0</v>
      </c>
      <c r="R44" s="15">
        <v>0</v>
      </c>
      <c r="S44" s="15">
        <f t="shared" si="2"/>
        <v>0</v>
      </c>
      <c r="T44" s="16"/>
      <c r="U44" s="16"/>
    </row>
    <row r="45" spans="1:21" x14ac:dyDescent="0.25">
      <c r="A45" s="16" t="s">
        <v>37</v>
      </c>
      <c r="B45" s="16" t="s">
        <v>269</v>
      </c>
      <c r="C45" s="16" t="s">
        <v>270</v>
      </c>
      <c r="D45" s="16" t="s">
        <v>38</v>
      </c>
      <c r="E45" s="16" t="s">
        <v>38</v>
      </c>
      <c r="F45" s="16" t="s">
        <v>38</v>
      </c>
      <c r="G45" s="16" t="s">
        <v>38</v>
      </c>
      <c r="H45" s="16" t="s">
        <v>41</v>
      </c>
      <c r="I45" s="16" t="s">
        <v>40</v>
      </c>
      <c r="J45" s="16" t="s">
        <v>67</v>
      </c>
      <c r="K45" s="16" t="s">
        <v>68</v>
      </c>
      <c r="L45" s="15">
        <v>-300000</v>
      </c>
      <c r="M45" s="15">
        <v>0</v>
      </c>
      <c r="N45" s="15">
        <v>-42724</v>
      </c>
      <c r="O45" s="15">
        <v>-257276</v>
      </c>
      <c r="P45" s="15">
        <v>-257276</v>
      </c>
      <c r="Q45" s="15">
        <f t="shared" si="1"/>
        <v>-257276</v>
      </c>
      <c r="R45" s="15">
        <v>0</v>
      </c>
      <c r="S45" s="15">
        <f t="shared" si="2"/>
        <v>-257276</v>
      </c>
      <c r="T45" s="16"/>
      <c r="U45" s="16"/>
    </row>
    <row r="46" spans="1:21" x14ac:dyDescent="0.25">
      <c r="A46" s="16" t="s">
        <v>37</v>
      </c>
      <c r="B46" s="16" t="s">
        <v>269</v>
      </c>
      <c r="C46" s="16" t="s">
        <v>270</v>
      </c>
      <c r="D46" s="16" t="s">
        <v>38</v>
      </c>
      <c r="E46" s="16" t="s">
        <v>38</v>
      </c>
      <c r="F46" s="16" t="s">
        <v>38</v>
      </c>
      <c r="G46" s="16" t="s">
        <v>38</v>
      </c>
      <c r="H46" s="16" t="s">
        <v>41</v>
      </c>
      <c r="I46" s="16" t="s">
        <v>40</v>
      </c>
      <c r="J46" s="16" t="s">
        <v>69</v>
      </c>
      <c r="K46" s="16" t="s">
        <v>70</v>
      </c>
      <c r="L46" s="15">
        <v>-231920</v>
      </c>
      <c r="M46" s="15">
        <v>-231920</v>
      </c>
      <c r="N46" s="15">
        <v>-150030.16999999998</v>
      </c>
      <c r="O46" s="15">
        <v>-81889.83</v>
      </c>
      <c r="P46" s="15">
        <v>0</v>
      </c>
      <c r="Q46" s="15">
        <f t="shared" si="1"/>
        <v>0</v>
      </c>
      <c r="R46" s="15">
        <v>0</v>
      </c>
      <c r="S46" s="15">
        <f t="shared" si="2"/>
        <v>0</v>
      </c>
      <c r="T46" s="16"/>
      <c r="U46" s="15">
        <v>-81890</v>
      </c>
    </row>
    <row r="47" spans="1:21" hidden="1" x14ac:dyDescent="0.25">
      <c r="A47" s="16" t="s">
        <v>37</v>
      </c>
      <c r="B47" s="16" t="s">
        <v>267</v>
      </c>
      <c r="C47" s="16" t="s">
        <v>268</v>
      </c>
      <c r="D47" s="16" t="s">
        <v>38</v>
      </c>
      <c r="E47" s="16" t="s">
        <v>38</v>
      </c>
      <c r="F47" s="16" t="s">
        <v>38</v>
      </c>
      <c r="G47" s="16" t="s">
        <v>38</v>
      </c>
      <c r="H47" s="16" t="s">
        <v>41</v>
      </c>
      <c r="I47" s="16" t="s">
        <v>40</v>
      </c>
      <c r="J47" s="16" t="s">
        <v>71</v>
      </c>
      <c r="K47" s="16" t="s">
        <v>72</v>
      </c>
      <c r="L47" s="15">
        <v>-18000</v>
      </c>
      <c r="M47" s="15">
        <v>0</v>
      </c>
      <c r="N47" s="15">
        <v>0</v>
      </c>
      <c r="O47" s="15">
        <v>-18000</v>
      </c>
      <c r="P47" s="15">
        <v>-18000</v>
      </c>
      <c r="Q47" s="15">
        <f t="shared" si="1"/>
        <v>-18000</v>
      </c>
      <c r="R47" s="15">
        <v>0</v>
      </c>
      <c r="S47" s="15">
        <f t="shared" si="2"/>
        <v>-18000</v>
      </c>
      <c r="T47" s="16"/>
      <c r="U47" s="16"/>
    </row>
    <row r="48" spans="1:21" hidden="1" x14ac:dyDescent="0.25">
      <c r="A48" s="16" t="s">
        <v>37</v>
      </c>
      <c r="B48" s="16" t="s">
        <v>259</v>
      </c>
      <c r="C48" s="16" t="s">
        <v>260</v>
      </c>
      <c r="D48" s="16" t="s">
        <v>38</v>
      </c>
      <c r="E48" s="16" t="s">
        <v>38</v>
      </c>
      <c r="F48" s="16" t="s">
        <v>38</v>
      </c>
      <c r="G48" s="16" t="s">
        <v>38</v>
      </c>
      <c r="H48" s="16" t="s">
        <v>41</v>
      </c>
      <c r="I48" s="16" t="s">
        <v>40</v>
      </c>
      <c r="J48" s="16" t="s">
        <v>73</v>
      </c>
      <c r="K48" s="16" t="s">
        <v>74</v>
      </c>
      <c r="L48" s="15">
        <v>-656103.94999999995</v>
      </c>
      <c r="M48" s="15">
        <v>-656103.94999999995</v>
      </c>
      <c r="N48" s="15">
        <v>-656103.94999999995</v>
      </c>
      <c r="O48" s="15">
        <v>0</v>
      </c>
      <c r="P48" s="15">
        <v>0</v>
      </c>
      <c r="Q48" s="15">
        <f t="shared" si="1"/>
        <v>0</v>
      </c>
      <c r="R48" s="15">
        <v>0</v>
      </c>
      <c r="S48" s="15">
        <f t="shared" si="2"/>
        <v>0</v>
      </c>
      <c r="T48" s="16"/>
      <c r="U48" s="16"/>
    </row>
    <row r="49" spans="1:21" hidden="1" x14ac:dyDescent="0.25">
      <c r="A49" s="16" t="s">
        <v>37</v>
      </c>
      <c r="B49" s="16" t="s">
        <v>257</v>
      </c>
      <c r="C49" s="16" t="s">
        <v>258</v>
      </c>
      <c r="D49" s="16" t="s">
        <v>38</v>
      </c>
      <c r="E49" s="16" t="s">
        <v>38</v>
      </c>
      <c r="F49" s="16" t="s">
        <v>38</v>
      </c>
      <c r="G49" s="16" t="s">
        <v>38</v>
      </c>
      <c r="H49" s="16" t="s">
        <v>41</v>
      </c>
      <c r="I49" s="16" t="s">
        <v>40</v>
      </c>
      <c r="J49" s="16" t="s">
        <v>75</v>
      </c>
      <c r="K49" s="16" t="s">
        <v>76</v>
      </c>
      <c r="L49" s="15">
        <v>-758684</v>
      </c>
      <c r="M49" s="15">
        <v>0</v>
      </c>
      <c r="N49" s="15">
        <v>-758684</v>
      </c>
      <c r="O49" s="15">
        <v>0</v>
      </c>
      <c r="P49" s="15">
        <v>0</v>
      </c>
      <c r="Q49" s="15">
        <f t="shared" si="1"/>
        <v>0</v>
      </c>
      <c r="R49" s="15">
        <v>0</v>
      </c>
      <c r="S49" s="15">
        <f t="shared" si="2"/>
        <v>0</v>
      </c>
      <c r="T49" s="16"/>
      <c r="U49" s="26"/>
    </row>
    <row r="50" spans="1:21" hidden="1" x14ac:dyDescent="0.25">
      <c r="A50" s="16" t="s">
        <v>37</v>
      </c>
      <c r="B50" s="16" t="s">
        <v>271</v>
      </c>
      <c r="C50" s="16" t="s">
        <v>272</v>
      </c>
      <c r="D50" s="16" t="s">
        <v>38</v>
      </c>
      <c r="E50" s="16" t="s">
        <v>38</v>
      </c>
      <c r="F50" s="16" t="s">
        <v>38</v>
      </c>
      <c r="G50" s="16" t="s">
        <v>38</v>
      </c>
      <c r="H50" s="16" t="s">
        <v>41</v>
      </c>
      <c r="I50" s="16" t="s">
        <v>40</v>
      </c>
      <c r="J50" s="16" t="s">
        <v>77</v>
      </c>
      <c r="K50" s="16" t="s">
        <v>78</v>
      </c>
      <c r="L50" s="15">
        <v>-382000</v>
      </c>
      <c r="M50" s="15">
        <v>0</v>
      </c>
      <c r="N50" s="15">
        <v>-102870.6</v>
      </c>
      <c r="O50" s="15">
        <v>-279129.40000000002</v>
      </c>
      <c r="P50" s="15">
        <v>-279129.40000000002</v>
      </c>
      <c r="Q50" s="15">
        <f t="shared" si="1"/>
        <v>-0.40000000002328306</v>
      </c>
      <c r="R50" s="15">
        <v>-279129</v>
      </c>
      <c r="S50" s="15">
        <f t="shared" si="2"/>
        <v>-279129.40000000002</v>
      </c>
      <c r="T50" s="16"/>
      <c r="U50" s="16"/>
    </row>
    <row r="51" spans="1:21" hidden="1" x14ac:dyDescent="0.25">
      <c r="A51" s="16" t="s">
        <v>37</v>
      </c>
      <c r="B51" s="16" t="s">
        <v>259</v>
      </c>
      <c r="C51" s="16" t="s">
        <v>260</v>
      </c>
      <c r="D51" s="16" t="s">
        <v>38</v>
      </c>
      <c r="E51" s="16" t="s">
        <v>38</v>
      </c>
      <c r="F51" s="16" t="s">
        <v>38</v>
      </c>
      <c r="G51" s="16" t="s">
        <v>38</v>
      </c>
      <c r="H51" s="16" t="s">
        <v>41</v>
      </c>
      <c r="I51" s="16" t="s">
        <v>40</v>
      </c>
      <c r="J51" s="16" t="s">
        <v>79</v>
      </c>
      <c r="K51" s="16" t="s">
        <v>80</v>
      </c>
      <c r="L51" s="15">
        <v>-35000.000200000002</v>
      </c>
      <c r="M51" s="15">
        <v>0</v>
      </c>
      <c r="N51" s="15">
        <v>-21800</v>
      </c>
      <c r="O51" s="15">
        <v>-13200.000200000002</v>
      </c>
      <c r="P51" s="15">
        <v>-13200.000200000002</v>
      </c>
      <c r="Q51" s="15">
        <f t="shared" si="1"/>
        <v>-13200.000200000002</v>
      </c>
      <c r="R51" s="15">
        <v>0</v>
      </c>
      <c r="S51" s="15">
        <f t="shared" si="2"/>
        <v>-13200.000200000002</v>
      </c>
      <c r="T51" s="16"/>
      <c r="U51" s="16"/>
    </row>
    <row r="52" spans="1:21" hidden="1" x14ac:dyDescent="0.25">
      <c r="A52" s="16" t="s">
        <v>37</v>
      </c>
      <c r="B52" s="16" t="s">
        <v>271</v>
      </c>
      <c r="C52" s="16" t="s">
        <v>272</v>
      </c>
      <c r="D52" s="16" t="s">
        <v>38</v>
      </c>
      <c r="E52" s="16" t="s">
        <v>38</v>
      </c>
      <c r="F52" s="16" t="s">
        <v>38</v>
      </c>
      <c r="G52" s="16" t="s">
        <v>38</v>
      </c>
      <c r="H52" s="16" t="s">
        <v>41</v>
      </c>
      <c r="I52" s="16" t="s">
        <v>40</v>
      </c>
      <c r="J52" s="16" t="s">
        <v>79</v>
      </c>
      <c r="K52" s="16" t="s">
        <v>80</v>
      </c>
      <c r="L52" s="15">
        <v>-754999.99999000004</v>
      </c>
      <c r="M52" s="15">
        <v>0</v>
      </c>
      <c r="N52" s="15">
        <v>-135293.4</v>
      </c>
      <c r="O52" s="15">
        <v>-619706.59999000002</v>
      </c>
      <c r="P52" s="15">
        <v>-619706.59999000002</v>
      </c>
      <c r="Q52" s="15">
        <f t="shared" si="1"/>
        <v>0.40000999998301268</v>
      </c>
      <c r="R52" s="15">
        <v>-619707</v>
      </c>
      <c r="S52" s="15">
        <f t="shared" si="2"/>
        <v>-619706.59999000002</v>
      </c>
      <c r="T52" s="16"/>
      <c r="U52" s="16"/>
    </row>
    <row r="53" spans="1:21" x14ac:dyDescent="0.25">
      <c r="A53" s="16" t="s">
        <v>37</v>
      </c>
      <c r="B53" s="16" t="s">
        <v>269</v>
      </c>
      <c r="C53" s="16" t="s">
        <v>270</v>
      </c>
      <c r="D53" s="16" t="s">
        <v>81</v>
      </c>
      <c r="E53" s="16" t="s">
        <v>82</v>
      </c>
      <c r="F53" s="16" t="s">
        <v>83</v>
      </c>
      <c r="G53" s="16" t="s">
        <v>84</v>
      </c>
      <c r="H53" s="16" t="s">
        <v>85</v>
      </c>
      <c r="I53" s="16" t="s">
        <v>40</v>
      </c>
      <c r="J53" s="16" t="s">
        <v>38</v>
      </c>
      <c r="K53" s="16" t="s">
        <v>293</v>
      </c>
      <c r="L53" s="15">
        <v>-2858</v>
      </c>
      <c r="M53" s="15">
        <v>0</v>
      </c>
      <c r="N53" s="15">
        <v>0</v>
      </c>
      <c r="O53" s="15">
        <v>-2858</v>
      </c>
      <c r="P53" s="15">
        <v>-2858</v>
      </c>
      <c r="Q53" s="15">
        <v>0</v>
      </c>
      <c r="R53" s="15">
        <v>0</v>
      </c>
      <c r="S53" s="15">
        <f t="shared" si="2"/>
        <v>0</v>
      </c>
      <c r="T53" s="16"/>
      <c r="U53" s="16"/>
    </row>
    <row r="54" spans="1:21" hidden="1" x14ac:dyDescent="0.25">
      <c r="A54" s="16" t="s">
        <v>37</v>
      </c>
      <c r="B54" s="16" t="s">
        <v>257</v>
      </c>
      <c r="C54" s="16" t="s">
        <v>258</v>
      </c>
      <c r="D54" s="16" t="s">
        <v>81</v>
      </c>
      <c r="E54" s="16" t="s">
        <v>82</v>
      </c>
      <c r="F54" s="16" t="s">
        <v>83</v>
      </c>
      <c r="G54" s="16" t="s">
        <v>84</v>
      </c>
      <c r="H54" s="16" t="s">
        <v>85</v>
      </c>
      <c r="I54" s="16" t="s">
        <v>40</v>
      </c>
      <c r="J54" s="16" t="s">
        <v>38</v>
      </c>
      <c r="K54" s="16" t="s">
        <v>293</v>
      </c>
      <c r="L54" s="15">
        <v>-8162.4999999464872</v>
      </c>
      <c r="M54" s="15">
        <v>0</v>
      </c>
      <c r="N54" s="15">
        <v>-8162.5</v>
      </c>
      <c r="O54" s="15">
        <v>5.3512849262915552E-8</v>
      </c>
      <c r="P54" s="15">
        <v>0</v>
      </c>
      <c r="Q54" s="15">
        <f t="shared" si="1"/>
        <v>0</v>
      </c>
      <c r="R54" s="15">
        <v>0</v>
      </c>
      <c r="S54" s="15">
        <f t="shared" si="2"/>
        <v>0</v>
      </c>
      <c r="T54" s="16"/>
      <c r="U54" s="26"/>
    </row>
    <row r="55" spans="1:21" x14ac:dyDescent="0.25">
      <c r="A55" s="16" t="s">
        <v>37</v>
      </c>
      <c r="B55" s="16" t="s">
        <v>269</v>
      </c>
      <c r="C55" s="16" t="s">
        <v>270</v>
      </c>
      <c r="D55" s="16" t="s">
        <v>81</v>
      </c>
      <c r="E55" s="16" t="s">
        <v>82</v>
      </c>
      <c r="F55" s="16" t="s">
        <v>86</v>
      </c>
      <c r="G55" s="16" t="s">
        <v>87</v>
      </c>
      <c r="H55" s="16" t="s">
        <v>85</v>
      </c>
      <c r="I55" s="16" t="s">
        <v>40</v>
      </c>
      <c r="J55" s="16" t="s">
        <v>38</v>
      </c>
      <c r="K55" s="16" t="s">
        <v>293</v>
      </c>
      <c r="L55" s="15">
        <v>-22505.000000000007</v>
      </c>
      <c r="M55" s="15">
        <v>0</v>
      </c>
      <c r="N55" s="15">
        <v>0</v>
      </c>
      <c r="O55" s="15">
        <v>-22505.000000000007</v>
      </c>
      <c r="P55" s="15">
        <v>-22505.000000000007</v>
      </c>
      <c r="Q55" s="15">
        <v>0</v>
      </c>
      <c r="R55" s="15">
        <v>0</v>
      </c>
      <c r="S55" s="15">
        <f t="shared" si="2"/>
        <v>0</v>
      </c>
      <c r="T55" s="16"/>
      <c r="U55" s="16"/>
    </row>
    <row r="56" spans="1:21" hidden="1" x14ac:dyDescent="0.25">
      <c r="A56" s="16" t="s">
        <v>37</v>
      </c>
      <c r="B56" s="16" t="s">
        <v>257</v>
      </c>
      <c r="C56" s="16" t="s">
        <v>258</v>
      </c>
      <c r="D56" s="16" t="s">
        <v>81</v>
      </c>
      <c r="E56" s="16" t="s">
        <v>82</v>
      </c>
      <c r="F56" s="16" t="s">
        <v>86</v>
      </c>
      <c r="G56" s="16" t="s">
        <v>87</v>
      </c>
      <c r="H56" s="16" t="s">
        <v>85</v>
      </c>
      <c r="I56" s="16" t="s">
        <v>40</v>
      </c>
      <c r="J56" s="16" t="s">
        <v>38</v>
      </c>
      <c r="K56" s="16" t="s">
        <v>293</v>
      </c>
      <c r="L56" s="15">
        <v>-28568.74999957862</v>
      </c>
      <c r="M56" s="15">
        <v>0</v>
      </c>
      <c r="N56" s="15">
        <v>-28568.75</v>
      </c>
      <c r="O56" s="15">
        <v>4.2137980926781893E-7</v>
      </c>
      <c r="P56" s="15">
        <v>0</v>
      </c>
      <c r="Q56" s="15">
        <f t="shared" si="1"/>
        <v>0</v>
      </c>
      <c r="R56" s="15">
        <v>0</v>
      </c>
      <c r="S56" s="15">
        <f t="shared" si="2"/>
        <v>0</v>
      </c>
      <c r="T56" s="16"/>
      <c r="U56" s="26"/>
    </row>
    <row r="57" spans="1:21" hidden="1" x14ac:dyDescent="0.25">
      <c r="A57" s="16" t="s">
        <v>37</v>
      </c>
      <c r="B57" s="16" t="s">
        <v>257</v>
      </c>
      <c r="C57" s="16" t="s">
        <v>258</v>
      </c>
      <c r="D57" s="16" t="s">
        <v>81</v>
      </c>
      <c r="E57" s="16" t="s">
        <v>82</v>
      </c>
      <c r="F57" s="16" t="s">
        <v>88</v>
      </c>
      <c r="G57" s="16" t="s">
        <v>89</v>
      </c>
      <c r="H57" s="16" t="s">
        <v>85</v>
      </c>
      <c r="I57" s="16" t="s">
        <v>40</v>
      </c>
      <c r="J57" s="16" t="s">
        <v>38</v>
      </c>
      <c r="K57" s="16" t="s">
        <v>293</v>
      </c>
      <c r="L57" s="15">
        <v>-4081.2499999147876</v>
      </c>
      <c r="M57" s="15">
        <v>0</v>
      </c>
      <c r="N57" s="15">
        <v>-4081.25</v>
      </c>
      <c r="O57" s="15">
        <v>8.5212377598509192E-8</v>
      </c>
      <c r="P57" s="15">
        <v>0</v>
      </c>
      <c r="Q57" s="15">
        <f t="shared" si="1"/>
        <v>0</v>
      </c>
      <c r="R57" s="15">
        <v>0</v>
      </c>
      <c r="S57" s="15">
        <f t="shared" si="2"/>
        <v>0</v>
      </c>
      <c r="T57" s="16"/>
      <c r="U57" s="26"/>
    </row>
    <row r="58" spans="1:21" x14ac:dyDescent="0.25">
      <c r="A58" s="16" t="s">
        <v>37</v>
      </c>
      <c r="B58" s="16" t="s">
        <v>269</v>
      </c>
      <c r="C58" s="16" t="s">
        <v>270</v>
      </c>
      <c r="D58" s="16" t="s">
        <v>81</v>
      </c>
      <c r="E58" s="16" t="s">
        <v>82</v>
      </c>
      <c r="F58" s="16" t="s">
        <v>88</v>
      </c>
      <c r="G58" s="16" t="s">
        <v>89</v>
      </c>
      <c r="H58" s="16" t="s">
        <v>85</v>
      </c>
      <c r="I58" s="16" t="s">
        <v>40</v>
      </c>
      <c r="J58" s="16" t="s">
        <v>38</v>
      </c>
      <c r="K58" s="16" t="s">
        <v>293</v>
      </c>
      <c r="L58" s="15">
        <v>-4551</v>
      </c>
      <c r="M58" s="15">
        <v>0</v>
      </c>
      <c r="N58" s="15">
        <v>0</v>
      </c>
      <c r="O58" s="15">
        <v>-4551</v>
      </c>
      <c r="P58" s="15">
        <v>-4551</v>
      </c>
      <c r="Q58" s="15">
        <v>0</v>
      </c>
      <c r="R58" s="15">
        <v>0</v>
      </c>
      <c r="S58" s="15">
        <f t="shared" si="2"/>
        <v>0</v>
      </c>
      <c r="T58" s="16"/>
      <c r="U58" s="16"/>
    </row>
    <row r="59" spans="1:21" x14ac:dyDescent="0.25">
      <c r="A59" s="16" t="s">
        <v>37</v>
      </c>
      <c r="B59" s="16" t="s">
        <v>269</v>
      </c>
      <c r="C59" s="16" t="s">
        <v>270</v>
      </c>
      <c r="D59" s="16" t="s">
        <v>81</v>
      </c>
      <c r="E59" s="16" t="s">
        <v>82</v>
      </c>
      <c r="F59" s="16" t="s">
        <v>90</v>
      </c>
      <c r="G59" s="16" t="s">
        <v>91</v>
      </c>
      <c r="H59" s="16" t="s">
        <v>85</v>
      </c>
      <c r="I59" s="16" t="s">
        <v>40</v>
      </c>
      <c r="J59" s="16" t="s">
        <v>38</v>
      </c>
      <c r="K59" s="16" t="s">
        <v>293</v>
      </c>
      <c r="L59" s="15">
        <v>-940.99999999999977</v>
      </c>
      <c r="M59" s="15">
        <v>0</v>
      </c>
      <c r="N59" s="15">
        <v>0</v>
      </c>
      <c r="O59" s="15">
        <v>-940.99999999999977</v>
      </c>
      <c r="P59" s="15">
        <v>-940.99999999999977</v>
      </c>
      <c r="Q59" s="15">
        <v>0</v>
      </c>
      <c r="R59" s="15">
        <v>0</v>
      </c>
      <c r="S59" s="15">
        <f t="shared" si="2"/>
        <v>0</v>
      </c>
      <c r="T59" s="16"/>
      <c r="U59" s="16"/>
    </row>
    <row r="60" spans="1:21" hidden="1" x14ac:dyDescent="0.25">
      <c r="A60" s="16" t="s">
        <v>37</v>
      </c>
      <c r="B60" s="16" t="s">
        <v>257</v>
      </c>
      <c r="C60" s="16" t="s">
        <v>258</v>
      </c>
      <c r="D60" s="16" t="s">
        <v>81</v>
      </c>
      <c r="E60" s="16" t="s">
        <v>82</v>
      </c>
      <c r="F60" s="16" t="s">
        <v>90</v>
      </c>
      <c r="G60" s="16" t="s">
        <v>91</v>
      </c>
      <c r="H60" s="16" t="s">
        <v>85</v>
      </c>
      <c r="I60" s="16" t="s">
        <v>40</v>
      </c>
      <c r="J60" s="16" t="s">
        <v>38</v>
      </c>
      <c r="K60" s="16" t="s">
        <v>293</v>
      </c>
      <c r="L60" s="15">
        <v>-4081.2499999823808</v>
      </c>
      <c r="M60" s="15">
        <v>0</v>
      </c>
      <c r="N60" s="15">
        <v>-4081.25</v>
      </c>
      <c r="O60" s="15">
        <v>1.7619186110096052E-8</v>
      </c>
      <c r="P60" s="15">
        <v>0</v>
      </c>
      <c r="Q60" s="15">
        <f t="shared" si="1"/>
        <v>0</v>
      </c>
      <c r="R60" s="15">
        <v>0</v>
      </c>
      <c r="S60" s="15">
        <f t="shared" si="2"/>
        <v>0</v>
      </c>
      <c r="T60" s="16"/>
      <c r="U60" s="26"/>
    </row>
    <row r="61" spans="1:21" x14ac:dyDescent="0.25">
      <c r="A61" s="16" t="s">
        <v>37</v>
      </c>
      <c r="B61" s="16" t="s">
        <v>269</v>
      </c>
      <c r="C61" s="16" t="s">
        <v>270</v>
      </c>
      <c r="D61" s="16" t="s">
        <v>81</v>
      </c>
      <c r="E61" s="16" t="s">
        <v>82</v>
      </c>
      <c r="F61" s="16" t="s">
        <v>92</v>
      </c>
      <c r="G61" s="16" t="s">
        <v>93</v>
      </c>
      <c r="H61" s="16" t="s">
        <v>85</v>
      </c>
      <c r="I61" s="16" t="s">
        <v>40</v>
      </c>
      <c r="J61" s="16" t="s">
        <v>38</v>
      </c>
      <c r="K61" s="16" t="s">
        <v>293</v>
      </c>
      <c r="L61" s="15">
        <v>-2815</v>
      </c>
      <c r="M61" s="15">
        <v>0</v>
      </c>
      <c r="N61" s="15">
        <v>0</v>
      </c>
      <c r="O61" s="15">
        <v>-2815</v>
      </c>
      <c r="P61" s="15">
        <v>-2815</v>
      </c>
      <c r="Q61" s="15">
        <v>0</v>
      </c>
      <c r="R61" s="15">
        <v>0</v>
      </c>
      <c r="S61" s="15">
        <f t="shared" si="2"/>
        <v>0</v>
      </c>
      <c r="T61" s="16"/>
      <c r="U61" s="16"/>
    </row>
    <row r="62" spans="1:21" hidden="1" x14ac:dyDescent="0.25">
      <c r="A62" s="16" t="s">
        <v>37</v>
      </c>
      <c r="B62" s="16" t="s">
        <v>257</v>
      </c>
      <c r="C62" s="16" t="s">
        <v>258</v>
      </c>
      <c r="D62" s="16" t="s">
        <v>81</v>
      </c>
      <c r="E62" s="16" t="s">
        <v>82</v>
      </c>
      <c r="F62" s="16" t="s">
        <v>92</v>
      </c>
      <c r="G62" s="16" t="s">
        <v>93</v>
      </c>
      <c r="H62" s="16" t="s">
        <v>85</v>
      </c>
      <c r="I62" s="16" t="s">
        <v>40</v>
      </c>
      <c r="J62" s="16" t="s">
        <v>38</v>
      </c>
      <c r="K62" s="16" t="s">
        <v>293</v>
      </c>
      <c r="L62" s="15">
        <v>5.270794645184651E-8</v>
      </c>
      <c r="M62" s="15">
        <v>0</v>
      </c>
      <c r="N62" s="15">
        <v>0</v>
      </c>
      <c r="O62" s="15">
        <v>5.270794645184651E-8</v>
      </c>
      <c r="P62" s="15">
        <v>0</v>
      </c>
      <c r="Q62" s="15">
        <f t="shared" si="1"/>
        <v>0</v>
      </c>
      <c r="R62" s="15">
        <v>0</v>
      </c>
      <c r="S62" s="15">
        <f t="shared" si="2"/>
        <v>0</v>
      </c>
      <c r="T62" s="16"/>
      <c r="U62" s="26"/>
    </row>
    <row r="63" spans="1:21" x14ac:dyDescent="0.25">
      <c r="A63" s="16" t="s">
        <v>37</v>
      </c>
      <c r="B63" s="16" t="s">
        <v>269</v>
      </c>
      <c r="C63" s="16" t="s">
        <v>270</v>
      </c>
      <c r="D63" s="16" t="s">
        <v>81</v>
      </c>
      <c r="E63" s="16" t="s">
        <v>82</v>
      </c>
      <c r="F63" s="16" t="s">
        <v>94</v>
      </c>
      <c r="G63" s="16" t="s">
        <v>95</v>
      </c>
      <c r="H63" s="16" t="s">
        <v>85</v>
      </c>
      <c r="I63" s="16" t="s">
        <v>40</v>
      </c>
      <c r="J63" s="16" t="s">
        <v>38</v>
      </c>
      <c r="K63" s="16" t="s">
        <v>293</v>
      </c>
      <c r="L63" s="15">
        <v>-36854.999999999993</v>
      </c>
      <c r="M63" s="15">
        <v>0</v>
      </c>
      <c r="N63" s="15">
        <v>0</v>
      </c>
      <c r="O63" s="15">
        <v>-36854.999999999993</v>
      </c>
      <c r="P63" s="15">
        <v>-36854.999999999993</v>
      </c>
      <c r="Q63" s="15">
        <v>0</v>
      </c>
      <c r="R63" s="15">
        <v>0</v>
      </c>
      <c r="S63" s="15">
        <f t="shared" si="2"/>
        <v>0</v>
      </c>
      <c r="T63" s="16"/>
      <c r="U63" s="16"/>
    </row>
    <row r="64" spans="1:21" hidden="1" x14ac:dyDescent="0.25">
      <c r="A64" s="16" t="s">
        <v>37</v>
      </c>
      <c r="B64" s="16" t="s">
        <v>257</v>
      </c>
      <c r="C64" s="16" t="s">
        <v>258</v>
      </c>
      <c r="D64" s="16" t="s">
        <v>81</v>
      </c>
      <c r="E64" s="16" t="s">
        <v>82</v>
      </c>
      <c r="F64" s="16" t="s">
        <v>94</v>
      </c>
      <c r="G64" s="16" t="s">
        <v>95</v>
      </c>
      <c r="H64" s="16" t="s">
        <v>85</v>
      </c>
      <c r="I64" s="16" t="s">
        <v>40</v>
      </c>
      <c r="J64" s="16" t="s">
        <v>38</v>
      </c>
      <c r="K64" s="16" t="s">
        <v>293</v>
      </c>
      <c r="L64" s="15">
        <v>-4081.2499993099336</v>
      </c>
      <c r="M64" s="15">
        <v>0</v>
      </c>
      <c r="N64" s="15">
        <v>-4081.25</v>
      </c>
      <c r="O64" s="15">
        <v>6.9006637204438448E-7</v>
      </c>
      <c r="P64" s="15">
        <v>0</v>
      </c>
      <c r="Q64" s="15">
        <f t="shared" si="1"/>
        <v>0</v>
      </c>
      <c r="R64" s="15">
        <v>0</v>
      </c>
      <c r="S64" s="15">
        <f t="shared" si="2"/>
        <v>0</v>
      </c>
      <c r="T64" s="16"/>
      <c r="U64" s="26"/>
    </row>
    <row r="65" spans="1:23" x14ac:dyDescent="0.25">
      <c r="A65" s="16" t="s">
        <v>37</v>
      </c>
      <c r="B65" s="16" t="s">
        <v>269</v>
      </c>
      <c r="C65" s="16" t="s">
        <v>270</v>
      </c>
      <c r="D65" s="16" t="s">
        <v>81</v>
      </c>
      <c r="E65" s="16" t="s">
        <v>82</v>
      </c>
      <c r="F65" s="16" t="s">
        <v>96</v>
      </c>
      <c r="G65" s="16" t="s">
        <v>97</v>
      </c>
      <c r="H65" s="16" t="s">
        <v>85</v>
      </c>
      <c r="I65" s="16" t="s">
        <v>40</v>
      </c>
      <c r="J65" s="16" t="s">
        <v>38</v>
      </c>
      <c r="K65" s="16" t="s">
        <v>293</v>
      </c>
      <c r="L65" s="15">
        <v>-1277.0000000000002</v>
      </c>
      <c r="M65" s="15">
        <v>0</v>
      </c>
      <c r="N65" s="15">
        <v>0</v>
      </c>
      <c r="O65" s="15">
        <v>-1277.0000000000002</v>
      </c>
      <c r="P65" s="15">
        <v>-1277.0000000000002</v>
      </c>
      <c r="Q65" s="15">
        <v>0</v>
      </c>
      <c r="R65" s="15">
        <v>0</v>
      </c>
      <c r="S65" s="15">
        <f t="shared" si="2"/>
        <v>0</v>
      </c>
      <c r="T65" s="16"/>
      <c r="U65" s="16"/>
    </row>
    <row r="66" spans="1:23" hidden="1" x14ac:dyDescent="0.25">
      <c r="A66" s="16" t="s">
        <v>37</v>
      </c>
      <c r="B66" s="16" t="s">
        <v>257</v>
      </c>
      <c r="C66" s="16" t="s">
        <v>258</v>
      </c>
      <c r="D66" s="16" t="s">
        <v>81</v>
      </c>
      <c r="E66" s="16" t="s">
        <v>82</v>
      </c>
      <c r="F66" s="16" t="s">
        <v>96</v>
      </c>
      <c r="G66" s="16" t="s">
        <v>97</v>
      </c>
      <c r="H66" s="16" t="s">
        <v>85</v>
      </c>
      <c r="I66" s="16" t="s">
        <v>40</v>
      </c>
      <c r="J66" s="16" t="s">
        <v>38</v>
      </c>
      <c r="K66" s="16" t="s">
        <v>293</v>
      </c>
      <c r="L66" s="15">
        <v>-4081.2499999760903</v>
      </c>
      <c r="M66" s="15">
        <v>0</v>
      </c>
      <c r="N66" s="15">
        <v>-4081.25</v>
      </c>
      <c r="O66" s="15">
        <v>2.390970621490851E-8</v>
      </c>
      <c r="P66" s="15">
        <v>0</v>
      </c>
      <c r="Q66" s="15">
        <f t="shared" si="1"/>
        <v>0</v>
      </c>
      <c r="R66" s="15">
        <v>0</v>
      </c>
      <c r="S66" s="15">
        <f t="shared" si="2"/>
        <v>0</v>
      </c>
      <c r="T66" s="16"/>
      <c r="U66" s="26"/>
    </row>
    <row r="67" spans="1:23" x14ac:dyDescent="0.25">
      <c r="A67" s="16" t="s">
        <v>37</v>
      </c>
      <c r="B67" s="16" t="s">
        <v>269</v>
      </c>
      <c r="C67" s="16" t="s">
        <v>270</v>
      </c>
      <c r="D67" s="16" t="s">
        <v>81</v>
      </c>
      <c r="E67" s="16" t="s">
        <v>82</v>
      </c>
      <c r="F67" s="16" t="s">
        <v>98</v>
      </c>
      <c r="G67" s="16" t="s">
        <v>99</v>
      </c>
      <c r="H67" s="16" t="s">
        <v>85</v>
      </c>
      <c r="I67" s="16" t="s">
        <v>40</v>
      </c>
      <c r="J67" s="16" t="s">
        <v>38</v>
      </c>
      <c r="K67" s="16" t="s">
        <v>293</v>
      </c>
      <c r="L67" s="15">
        <v>-1354.0000000000002</v>
      </c>
      <c r="M67" s="15">
        <v>0</v>
      </c>
      <c r="N67" s="15">
        <v>0</v>
      </c>
      <c r="O67" s="15">
        <v>-1354.0000000000002</v>
      </c>
      <c r="P67" s="15">
        <v>-1354.0000000000002</v>
      </c>
      <c r="Q67" s="15">
        <v>0</v>
      </c>
      <c r="R67" s="15">
        <v>0</v>
      </c>
      <c r="S67" s="15">
        <f t="shared" si="2"/>
        <v>0</v>
      </c>
      <c r="T67" s="16"/>
      <c r="U67" s="16"/>
    </row>
    <row r="68" spans="1:23" hidden="1" x14ac:dyDescent="0.25">
      <c r="A68" s="16" t="s">
        <v>37</v>
      </c>
      <c r="B68" s="16" t="s">
        <v>257</v>
      </c>
      <c r="C68" s="16" t="s">
        <v>258</v>
      </c>
      <c r="D68" s="16" t="s">
        <v>81</v>
      </c>
      <c r="E68" s="16" t="s">
        <v>82</v>
      </c>
      <c r="F68" s="16" t="s">
        <v>98</v>
      </c>
      <c r="G68" s="16" t="s">
        <v>99</v>
      </c>
      <c r="H68" s="16" t="s">
        <v>85</v>
      </c>
      <c r="I68" s="16" t="s">
        <v>40</v>
      </c>
      <c r="J68" s="16" t="s">
        <v>38</v>
      </c>
      <c r="K68" s="16" t="s">
        <v>293</v>
      </c>
      <c r="L68" s="15">
        <v>-4081.2499999746478</v>
      </c>
      <c r="M68" s="15">
        <v>0</v>
      </c>
      <c r="N68" s="15">
        <v>-4081.25</v>
      </c>
      <c r="O68" s="15">
        <v>2.5351937438244931E-8</v>
      </c>
      <c r="P68" s="15">
        <v>0</v>
      </c>
      <c r="Q68" s="15">
        <f t="shared" si="1"/>
        <v>0</v>
      </c>
      <c r="R68" s="15">
        <v>0</v>
      </c>
      <c r="S68" s="15">
        <f t="shared" si="2"/>
        <v>0</v>
      </c>
      <c r="T68" s="16"/>
      <c r="U68" s="26"/>
    </row>
    <row r="69" spans="1:23" x14ac:dyDescent="0.25">
      <c r="A69" s="16" t="s">
        <v>37</v>
      </c>
      <c r="B69" s="16" t="s">
        <v>269</v>
      </c>
      <c r="C69" s="16" t="s">
        <v>270</v>
      </c>
      <c r="D69" s="16" t="s">
        <v>100</v>
      </c>
      <c r="E69" s="16" t="s">
        <v>101</v>
      </c>
      <c r="F69" s="16" t="s">
        <v>102</v>
      </c>
      <c r="G69" s="16" t="s">
        <v>103</v>
      </c>
      <c r="H69" s="16" t="s">
        <v>85</v>
      </c>
      <c r="I69" s="16" t="s">
        <v>40</v>
      </c>
      <c r="J69" s="16"/>
      <c r="K69" s="16" t="s">
        <v>293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8">
        <f>P53+P59+P61+P65+P67-175</f>
        <v>-9420</v>
      </c>
      <c r="R69" s="15">
        <v>0</v>
      </c>
      <c r="S69" s="15">
        <f t="shared" si="2"/>
        <v>-9420</v>
      </c>
      <c r="T69" s="16"/>
      <c r="U69" s="16"/>
      <c r="V69">
        <v>9419.99</v>
      </c>
      <c r="W69" s="4" t="s">
        <v>306</v>
      </c>
    </row>
    <row r="70" spans="1:23" hidden="1" x14ac:dyDescent="0.25">
      <c r="A70" s="16" t="s">
        <v>37</v>
      </c>
      <c r="B70" s="16" t="s">
        <v>257</v>
      </c>
      <c r="C70" s="16" t="s">
        <v>258</v>
      </c>
      <c r="D70" s="16" t="s">
        <v>100</v>
      </c>
      <c r="E70" s="16" t="s">
        <v>101</v>
      </c>
      <c r="F70" s="16" t="s">
        <v>102</v>
      </c>
      <c r="G70" s="16" t="s">
        <v>103</v>
      </c>
      <c r="H70" s="16" t="s">
        <v>85</v>
      </c>
      <c r="I70" s="16" t="s">
        <v>40</v>
      </c>
      <c r="J70" s="16"/>
      <c r="K70" s="16" t="s">
        <v>293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20">
        <f>P55+P58+P63+175+P461+P464+P466+P379+P393</f>
        <v>-480640.21796313563</v>
      </c>
      <c r="R70" s="15"/>
      <c r="S70" s="15">
        <f t="shared" si="2"/>
        <v>-480640.21796313563</v>
      </c>
      <c r="T70" s="16"/>
      <c r="U70" s="26"/>
    </row>
    <row r="71" spans="1:23" x14ac:dyDescent="0.25">
      <c r="A71" s="16" t="s">
        <v>37</v>
      </c>
      <c r="B71" s="16" t="s">
        <v>269</v>
      </c>
      <c r="C71" s="16" t="s">
        <v>270</v>
      </c>
      <c r="D71" s="16" t="s">
        <v>104</v>
      </c>
      <c r="E71" s="16" t="s">
        <v>105</v>
      </c>
      <c r="F71" s="16" t="s">
        <v>106</v>
      </c>
      <c r="G71" s="16" t="s">
        <v>107</v>
      </c>
      <c r="H71" s="16" t="s">
        <v>85</v>
      </c>
      <c r="I71" s="16" t="s">
        <v>40</v>
      </c>
      <c r="J71" s="16" t="s">
        <v>38</v>
      </c>
      <c r="K71" s="16" t="s">
        <v>293</v>
      </c>
      <c r="L71" s="15">
        <v>-25388.09490969593</v>
      </c>
      <c r="M71" s="15">
        <v>0</v>
      </c>
      <c r="N71" s="15">
        <v>-10160.923325252264</v>
      </c>
      <c r="O71" s="15">
        <v>-15227.171584443673</v>
      </c>
      <c r="P71" s="15">
        <v>-15227.171584443673</v>
      </c>
      <c r="Q71" s="15">
        <f>P71+15227</f>
        <v>-0.17158444367305492</v>
      </c>
      <c r="R71" s="15">
        <v>0</v>
      </c>
      <c r="S71" s="15">
        <f t="shared" si="2"/>
        <v>-0.17158444367305492</v>
      </c>
      <c r="T71" s="16"/>
      <c r="U71" s="16"/>
    </row>
    <row r="72" spans="1:23" hidden="1" x14ac:dyDescent="0.25">
      <c r="A72" s="16" t="s">
        <v>37</v>
      </c>
      <c r="B72" s="16" t="s">
        <v>257</v>
      </c>
      <c r="C72" s="16" t="s">
        <v>258</v>
      </c>
      <c r="D72" s="16" t="s">
        <v>104</v>
      </c>
      <c r="E72" s="16" t="s">
        <v>105</v>
      </c>
      <c r="F72" s="16" t="s">
        <v>106</v>
      </c>
      <c r="G72" s="16" t="s">
        <v>107</v>
      </c>
      <c r="H72" s="16" t="s">
        <v>85</v>
      </c>
      <c r="I72" s="16" t="s">
        <v>40</v>
      </c>
      <c r="J72" s="16" t="s">
        <v>38</v>
      </c>
      <c r="K72" s="16" t="s">
        <v>293</v>
      </c>
      <c r="L72" s="15">
        <v>-185112.60506771953</v>
      </c>
      <c r="M72" s="15">
        <v>-51088.201000000001</v>
      </c>
      <c r="N72" s="15">
        <v>-201375.31276204844</v>
      </c>
      <c r="O72" s="15">
        <v>16262.707694328878</v>
      </c>
      <c r="P72" s="15">
        <f>O72</f>
        <v>16262.707694328878</v>
      </c>
      <c r="Q72" s="15">
        <f>P72+P71</f>
        <v>1035.5361098852045</v>
      </c>
      <c r="R72" s="15">
        <v>0</v>
      </c>
      <c r="S72" s="15">
        <f t="shared" si="2"/>
        <v>1035.5361098852045</v>
      </c>
      <c r="T72" s="16"/>
      <c r="U72" s="26"/>
    </row>
    <row r="73" spans="1:23" hidden="1" x14ac:dyDescent="0.25">
      <c r="A73" s="16" t="s">
        <v>37</v>
      </c>
      <c r="B73" s="16" t="s">
        <v>257</v>
      </c>
      <c r="C73" s="16" t="s">
        <v>258</v>
      </c>
      <c r="D73" s="16" t="s">
        <v>104</v>
      </c>
      <c r="E73" s="16" t="s">
        <v>105</v>
      </c>
      <c r="F73" s="16" t="s">
        <v>106</v>
      </c>
      <c r="G73" s="16" t="s">
        <v>107</v>
      </c>
      <c r="H73" s="16" t="s">
        <v>85</v>
      </c>
      <c r="I73" s="16" t="s">
        <v>40</v>
      </c>
      <c r="J73" s="16" t="s">
        <v>296</v>
      </c>
      <c r="K73" s="16" t="s">
        <v>297</v>
      </c>
      <c r="L73" s="15">
        <v>-23367.251937199995</v>
      </c>
      <c r="M73" s="15">
        <v>-4006.326</v>
      </c>
      <c r="N73" s="15">
        <v>-16620.764179999998</v>
      </c>
      <c r="O73" s="15">
        <v>-6746.4877572000005</v>
      </c>
      <c r="P73" s="15">
        <v>-6746.4877572000005</v>
      </c>
      <c r="Q73" s="15">
        <f t="shared" si="1"/>
        <v>-6746.4877572000005</v>
      </c>
      <c r="R73" s="15">
        <v>0</v>
      </c>
      <c r="S73" s="15">
        <f t="shared" si="2"/>
        <v>-6746.4877572000005</v>
      </c>
      <c r="T73" s="16"/>
      <c r="U73" s="26"/>
    </row>
    <row r="74" spans="1:23" hidden="1" x14ac:dyDescent="0.25">
      <c r="A74" s="16" t="s">
        <v>37</v>
      </c>
      <c r="B74" s="16" t="s">
        <v>257</v>
      </c>
      <c r="C74" s="16" t="s">
        <v>258</v>
      </c>
      <c r="D74" s="16" t="s">
        <v>104</v>
      </c>
      <c r="E74" s="16" t="s">
        <v>105</v>
      </c>
      <c r="F74" s="16" t="s">
        <v>106</v>
      </c>
      <c r="G74" s="16" t="s">
        <v>107</v>
      </c>
      <c r="H74" s="16" t="s">
        <v>85</v>
      </c>
      <c r="I74" s="16" t="s">
        <v>40</v>
      </c>
      <c r="J74" s="16" t="s">
        <v>298</v>
      </c>
      <c r="K74" s="16" t="s">
        <v>299</v>
      </c>
      <c r="L74" s="15">
        <v>-2798.4853709677418</v>
      </c>
      <c r="M74" s="15">
        <v>0</v>
      </c>
      <c r="N74" s="15">
        <v>-1106.0646860174002</v>
      </c>
      <c r="O74" s="15">
        <v>-1692.4206849503421</v>
      </c>
      <c r="P74" s="15">
        <v>-1692.4206849503421</v>
      </c>
      <c r="Q74" s="15">
        <f t="shared" si="1"/>
        <v>-1692.4206849503421</v>
      </c>
      <c r="R74" s="15">
        <v>0</v>
      </c>
      <c r="S74" s="15">
        <f t="shared" si="2"/>
        <v>-1692.4206849503421</v>
      </c>
      <c r="T74" s="16"/>
      <c r="U74" s="26"/>
    </row>
    <row r="75" spans="1:23" x14ac:dyDescent="0.25">
      <c r="A75" s="16" t="s">
        <v>37</v>
      </c>
      <c r="B75" s="16" t="s">
        <v>269</v>
      </c>
      <c r="C75" s="16" t="s">
        <v>270</v>
      </c>
      <c r="D75" s="16" t="s">
        <v>104</v>
      </c>
      <c r="E75" s="16" t="s">
        <v>105</v>
      </c>
      <c r="F75" s="16" t="s">
        <v>106</v>
      </c>
      <c r="G75" s="16" t="s">
        <v>107</v>
      </c>
      <c r="H75" s="16" t="s">
        <v>85</v>
      </c>
      <c r="I75" s="16" t="s">
        <v>40</v>
      </c>
      <c r="J75" s="16" t="s">
        <v>62</v>
      </c>
      <c r="K75" s="16" t="s">
        <v>63</v>
      </c>
      <c r="L75" s="15">
        <v>-5327.4690000000001</v>
      </c>
      <c r="M75" s="15">
        <v>-5327.4690000000001</v>
      </c>
      <c r="N75" s="15">
        <v>-5327.4699927899983</v>
      </c>
      <c r="O75" s="15">
        <v>9.9278999800844758E-4</v>
      </c>
      <c r="P75" s="15">
        <v>0</v>
      </c>
      <c r="Q75" s="15">
        <f t="shared" si="1"/>
        <v>0</v>
      </c>
      <c r="R75" s="15">
        <v>0</v>
      </c>
      <c r="S75" s="15">
        <f t="shared" si="2"/>
        <v>0</v>
      </c>
      <c r="T75" s="16"/>
      <c r="U75" s="16"/>
    </row>
    <row r="76" spans="1:23" hidden="1" x14ac:dyDescent="0.25">
      <c r="A76" s="16" t="s">
        <v>37</v>
      </c>
      <c r="B76" s="16" t="s">
        <v>257</v>
      </c>
      <c r="C76" s="16" t="s">
        <v>258</v>
      </c>
      <c r="D76" s="16" t="s">
        <v>104</v>
      </c>
      <c r="E76" s="16" t="s">
        <v>105</v>
      </c>
      <c r="F76" s="16" t="s">
        <v>106</v>
      </c>
      <c r="G76" s="16" t="s">
        <v>107</v>
      </c>
      <c r="H76" s="16" t="s">
        <v>85</v>
      </c>
      <c r="I76" s="16" t="s">
        <v>40</v>
      </c>
      <c r="J76" s="16" t="s">
        <v>108</v>
      </c>
      <c r="K76" s="16" t="s">
        <v>109</v>
      </c>
      <c r="L76" s="15">
        <v>-80112.56</v>
      </c>
      <c r="M76" s="15">
        <v>-80112.56</v>
      </c>
      <c r="N76" s="15">
        <v>0</v>
      </c>
      <c r="O76" s="15">
        <v>-80112.56</v>
      </c>
      <c r="P76" s="15">
        <v>0</v>
      </c>
      <c r="Q76" s="15">
        <f t="shared" ref="Q76:Q139" si="3">P76-R76</f>
        <v>0</v>
      </c>
      <c r="R76" s="15">
        <v>0</v>
      </c>
      <c r="S76" s="15">
        <f t="shared" ref="S76:S139" si="4">SUM(Q76:R76)</f>
        <v>0</v>
      </c>
      <c r="T76" s="16"/>
      <c r="U76" s="15">
        <v>-80113</v>
      </c>
    </row>
    <row r="77" spans="1:23" x14ac:dyDescent="0.25">
      <c r="A77" s="16" t="s">
        <v>37</v>
      </c>
      <c r="B77" s="16" t="s">
        <v>269</v>
      </c>
      <c r="C77" s="16" t="s">
        <v>270</v>
      </c>
      <c r="D77" s="16" t="s">
        <v>104</v>
      </c>
      <c r="E77" s="16" t="s">
        <v>105</v>
      </c>
      <c r="F77" s="16" t="s">
        <v>110</v>
      </c>
      <c r="G77" s="16" t="s">
        <v>111</v>
      </c>
      <c r="H77" s="16" t="s">
        <v>85</v>
      </c>
      <c r="I77" s="16" t="s">
        <v>40</v>
      </c>
      <c r="J77" s="16" t="s">
        <v>38</v>
      </c>
      <c r="K77" s="16" t="s">
        <v>293</v>
      </c>
      <c r="L77" s="15">
        <v>-13076.404840559839</v>
      </c>
      <c r="M77" s="15">
        <v>0</v>
      </c>
      <c r="N77" s="15">
        <v>-3756.9800530344501</v>
      </c>
      <c r="O77" s="15">
        <v>-9319.4247875253895</v>
      </c>
      <c r="P77" s="15">
        <v>-9319.4247875253895</v>
      </c>
      <c r="Q77" s="15">
        <f>P77-R77+9319</f>
        <v>-0.42478752538954723</v>
      </c>
      <c r="R77" s="15">
        <v>0</v>
      </c>
      <c r="S77" s="15">
        <f t="shared" si="4"/>
        <v>-0.42478752538954723</v>
      </c>
      <c r="T77" s="16"/>
      <c r="U77" s="16"/>
    </row>
    <row r="78" spans="1:23" hidden="1" x14ac:dyDescent="0.25">
      <c r="A78" s="16" t="s">
        <v>37</v>
      </c>
      <c r="B78" s="16" t="s">
        <v>257</v>
      </c>
      <c r="C78" s="16" t="s">
        <v>258</v>
      </c>
      <c r="D78" s="16" t="s">
        <v>104</v>
      </c>
      <c r="E78" s="16" t="s">
        <v>105</v>
      </c>
      <c r="F78" s="16" t="s">
        <v>110</v>
      </c>
      <c r="G78" s="16" t="s">
        <v>111</v>
      </c>
      <c r="H78" s="16" t="s">
        <v>85</v>
      </c>
      <c r="I78" s="16" t="s">
        <v>40</v>
      </c>
      <c r="J78" s="16" t="s">
        <v>38</v>
      </c>
      <c r="K78" s="16" t="s">
        <v>293</v>
      </c>
      <c r="L78" s="15">
        <v>-53622.926968467655</v>
      </c>
      <c r="M78" s="15">
        <v>-15722.571599999999</v>
      </c>
      <c r="N78" s="15">
        <v>-70572.762759694189</v>
      </c>
      <c r="O78" s="15">
        <v>16949.835791226535</v>
      </c>
      <c r="P78" s="15">
        <f>O78</f>
        <v>16949.835791226535</v>
      </c>
      <c r="Q78" s="15">
        <f>P78-R78+P77</f>
        <v>7630.4110037011451</v>
      </c>
      <c r="R78" s="15">
        <v>0</v>
      </c>
      <c r="S78" s="15">
        <f t="shared" si="4"/>
        <v>7630.4110037011451</v>
      </c>
      <c r="T78" s="16"/>
      <c r="U78" s="26"/>
    </row>
    <row r="79" spans="1:23" hidden="1" x14ac:dyDescent="0.25">
      <c r="A79" s="16" t="s">
        <v>37</v>
      </c>
      <c r="B79" s="16" t="s">
        <v>257</v>
      </c>
      <c r="C79" s="16" t="s">
        <v>258</v>
      </c>
      <c r="D79" s="16" t="s">
        <v>104</v>
      </c>
      <c r="E79" s="16" t="s">
        <v>105</v>
      </c>
      <c r="F79" s="16" t="s">
        <v>110</v>
      </c>
      <c r="G79" s="16" t="s">
        <v>111</v>
      </c>
      <c r="H79" s="16" t="s">
        <v>85</v>
      </c>
      <c r="I79" s="16" t="s">
        <v>40</v>
      </c>
      <c r="J79" s="16" t="s">
        <v>296</v>
      </c>
      <c r="K79" s="16" t="s">
        <v>297</v>
      </c>
      <c r="L79" s="15">
        <v>-11683.625968599998</v>
      </c>
      <c r="M79" s="15">
        <v>-2003.163</v>
      </c>
      <c r="N79" s="15">
        <v>-8310.3820899999992</v>
      </c>
      <c r="O79" s="15">
        <v>-3373.2438785999993</v>
      </c>
      <c r="P79" s="15">
        <v>-3373.2438785999993</v>
      </c>
      <c r="Q79" s="15">
        <f t="shared" si="3"/>
        <v>-3373.2438785999993</v>
      </c>
      <c r="R79" s="15">
        <v>0</v>
      </c>
      <c r="S79" s="15">
        <f t="shared" si="4"/>
        <v>-3373.2438785999993</v>
      </c>
      <c r="T79" s="16"/>
      <c r="U79" s="26"/>
    </row>
    <row r="80" spans="1:23" hidden="1" x14ac:dyDescent="0.25">
      <c r="A80" s="16" t="s">
        <v>37</v>
      </c>
      <c r="B80" s="16" t="s">
        <v>257</v>
      </c>
      <c r="C80" s="16" t="s">
        <v>258</v>
      </c>
      <c r="D80" s="16" t="s">
        <v>104</v>
      </c>
      <c r="E80" s="16" t="s">
        <v>105</v>
      </c>
      <c r="F80" s="16" t="s">
        <v>110</v>
      </c>
      <c r="G80" s="16" t="s">
        <v>111</v>
      </c>
      <c r="H80" s="16" t="s">
        <v>85</v>
      </c>
      <c r="I80" s="16" t="s">
        <v>40</v>
      </c>
      <c r="J80" s="16" t="s">
        <v>298</v>
      </c>
      <c r="K80" s="16" t="s">
        <v>299</v>
      </c>
      <c r="L80" s="15">
        <v>-891.51933548387092</v>
      </c>
      <c r="M80" s="15">
        <v>0</v>
      </c>
      <c r="N80" s="15">
        <v>-352.41956511939998</v>
      </c>
      <c r="O80" s="15">
        <v>-539.09977036447083</v>
      </c>
      <c r="P80" s="15">
        <v>-539.09977036447083</v>
      </c>
      <c r="Q80" s="15">
        <f t="shared" si="3"/>
        <v>-539.09977036447083</v>
      </c>
      <c r="R80" s="15">
        <v>0</v>
      </c>
      <c r="S80" s="15">
        <f t="shared" si="4"/>
        <v>-539.09977036447083</v>
      </c>
      <c r="T80" s="16"/>
      <c r="U80" s="26"/>
    </row>
    <row r="81" spans="1:21" x14ac:dyDescent="0.25">
      <c r="A81" s="16" t="s">
        <v>37</v>
      </c>
      <c r="B81" s="16" t="s">
        <v>269</v>
      </c>
      <c r="C81" s="16" t="s">
        <v>270</v>
      </c>
      <c r="D81" s="16" t="s">
        <v>104</v>
      </c>
      <c r="E81" s="16" t="s">
        <v>105</v>
      </c>
      <c r="F81" s="16" t="s">
        <v>110</v>
      </c>
      <c r="G81" s="16" t="s">
        <v>111</v>
      </c>
      <c r="H81" s="16" t="s">
        <v>85</v>
      </c>
      <c r="I81" s="16" t="s">
        <v>40</v>
      </c>
      <c r="J81" s="16" t="s">
        <v>62</v>
      </c>
      <c r="K81" s="16" t="s">
        <v>63</v>
      </c>
      <c r="L81" s="15">
        <v>-1396.521</v>
      </c>
      <c r="M81" s="15">
        <v>-1396.521</v>
      </c>
      <c r="N81" s="15">
        <v>-1396.5199981100013</v>
      </c>
      <c r="O81" s="15">
        <v>-1.0018899987471741E-3</v>
      </c>
      <c r="P81" s="15">
        <v>0</v>
      </c>
      <c r="Q81" s="15">
        <f t="shared" si="3"/>
        <v>0</v>
      </c>
      <c r="R81" s="15">
        <v>0</v>
      </c>
      <c r="S81" s="15">
        <f t="shared" si="4"/>
        <v>0</v>
      </c>
      <c r="T81" s="16"/>
      <c r="U81" s="16"/>
    </row>
    <row r="82" spans="1:21" hidden="1" x14ac:dyDescent="0.25">
      <c r="A82" s="16" t="s">
        <v>37</v>
      </c>
      <c r="B82" s="16" t="s">
        <v>257</v>
      </c>
      <c r="C82" s="16" t="s">
        <v>258</v>
      </c>
      <c r="D82" s="16" t="s">
        <v>104</v>
      </c>
      <c r="E82" s="16" t="s">
        <v>105</v>
      </c>
      <c r="F82" s="16" t="s">
        <v>112</v>
      </c>
      <c r="G82" s="16" t="s">
        <v>113</v>
      </c>
      <c r="H82" s="16" t="s">
        <v>85</v>
      </c>
      <c r="I82" s="16" t="s">
        <v>40</v>
      </c>
      <c r="J82" s="16" t="s">
        <v>38</v>
      </c>
      <c r="K82" s="16" t="s">
        <v>293</v>
      </c>
      <c r="L82" s="15">
        <v>-63173.983454961955</v>
      </c>
      <c r="M82" s="15">
        <v>-22690.067800000001</v>
      </c>
      <c r="N82" s="15">
        <v>-90639.813586714197</v>
      </c>
      <c r="O82" s="15">
        <v>27465.830131752235</v>
      </c>
      <c r="P82" s="15">
        <f>O82</f>
        <v>27465.830131752235</v>
      </c>
      <c r="Q82" s="15">
        <f>P82-R82+P83</f>
        <v>19552.968502184205</v>
      </c>
      <c r="R82" s="15">
        <v>0</v>
      </c>
      <c r="S82" s="15">
        <f t="shared" si="4"/>
        <v>19552.968502184205</v>
      </c>
      <c r="T82" s="16"/>
      <c r="U82" s="26"/>
    </row>
    <row r="83" spans="1:21" x14ac:dyDescent="0.25">
      <c r="A83" s="16" t="s">
        <v>37</v>
      </c>
      <c r="B83" s="16" t="s">
        <v>269</v>
      </c>
      <c r="C83" s="16" t="s">
        <v>270</v>
      </c>
      <c r="D83" s="16" t="s">
        <v>104</v>
      </c>
      <c r="E83" s="16" t="s">
        <v>105</v>
      </c>
      <c r="F83" s="16" t="s">
        <v>112</v>
      </c>
      <c r="G83" s="16" t="s">
        <v>113</v>
      </c>
      <c r="H83" s="16" t="s">
        <v>85</v>
      </c>
      <c r="I83" s="16" t="s">
        <v>40</v>
      </c>
      <c r="J83" s="16" t="s">
        <v>38</v>
      </c>
      <c r="K83" s="16" t="s">
        <v>293</v>
      </c>
      <c r="L83" s="15">
        <v>-12609.086695861093</v>
      </c>
      <c r="M83" s="15">
        <v>0</v>
      </c>
      <c r="N83" s="15">
        <v>-4696.2250662930628</v>
      </c>
      <c r="O83" s="15">
        <v>-7912.8616295680304</v>
      </c>
      <c r="P83" s="15">
        <v>-7912.8616295680304</v>
      </c>
      <c r="Q83" s="15">
        <f>P83-R83+7913</f>
        <v>0.1383704319696335</v>
      </c>
      <c r="R83" s="15">
        <v>0</v>
      </c>
      <c r="S83" s="15">
        <f t="shared" si="4"/>
        <v>0.1383704319696335</v>
      </c>
      <c r="T83" s="16"/>
      <c r="U83" s="16"/>
    </row>
    <row r="84" spans="1:21" hidden="1" x14ac:dyDescent="0.25">
      <c r="A84" s="16" t="s">
        <v>37</v>
      </c>
      <c r="B84" s="16" t="s">
        <v>257</v>
      </c>
      <c r="C84" s="16" t="s">
        <v>258</v>
      </c>
      <c r="D84" s="16" t="s">
        <v>104</v>
      </c>
      <c r="E84" s="16" t="s">
        <v>105</v>
      </c>
      <c r="F84" s="16" t="s">
        <v>112</v>
      </c>
      <c r="G84" s="16" t="s">
        <v>113</v>
      </c>
      <c r="H84" s="16" t="s">
        <v>85</v>
      </c>
      <c r="I84" s="16" t="s">
        <v>40</v>
      </c>
      <c r="J84" s="16" t="s">
        <v>296</v>
      </c>
      <c r="K84" s="16" t="s">
        <v>297</v>
      </c>
      <c r="L84" s="15">
        <v>-2976.7199920000003</v>
      </c>
      <c r="M84" s="15">
        <v>-510.36</v>
      </c>
      <c r="N84" s="15">
        <v>-2117.2948000000001</v>
      </c>
      <c r="O84" s="15">
        <v>-859.42519200000015</v>
      </c>
      <c r="P84" s="15">
        <v>-859.42519200000015</v>
      </c>
      <c r="Q84" s="15">
        <f t="shared" si="3"/>
        <v>-859.42519200000015</v>
      </c>
      <c r="R84" s="15">
        <v>0</v>
      </c>
      <c r="S84" s="15">
        <f t="shared" si="4"/>
        <v>-859.42519200000015</v>
      </c>
      <c r="T84" s="16"/>
      <c r="U84" s="26"/>
    </row>
    <row r="85" spans="1:21" hidden="1" x14ac:dyDescent="0.25">
      <c r="A85" s="16" t="s">
        <v>37</v>
      </c>
      <c r="B85" s="16" t="s">
        <v>257</v>
      </c>
      <c r="C85" s="16" t="s">
        <v>258</v>
      </c>
      <c r="D85" s="16" t="s">
        <v>104</v>
      </c>
      <c r="E85" s="16" t="s">
        <v>105</v>
      </c>
      <c r="F85" s="16" t="s">
        <v>112</v>
      </c>
      <c r="G85" s="16" t="s">
        <v>113</v>
      </c>
      <c r="H85" s="16" t="s">
        <v>85</v>
      </c>
      <c r="I85" s="16" t="s">
        <v>40</v>
      </c>
      <c r="J85" s="16" t="s">
        <v>298</v>
      </c>
      <c r="K85" s="16" t="s">
        <v>299</v>
      </c>
      <c r="L85" s="15">
        <v>-1251.703635483871</v>
      </c>
      <c r="M85" s="15">
        <v>0</v>
      </c>
      <c r="N85" s="15">
        <v>-494.72302984300006</v>
      </c>
      <c r="O85" s="15">
        <v>-756.98060564087109</v>
      </c>
      <c r="P85" s="15">
        <v>-756.98060564087109</v>
      </c>
      <c r="Q85" s="15">
        <f t="shared" si="3"/>
        <v>-756.98060564087109</v>
      </c>
      <c r="R85" s="15">
        <v>0</v>
      </c>
      <c r="S85" s="15">
        <f t="shared" si="4"/>
        <v>-756.98060564087109</v>
      </c>
      <c r="T85" s="16"/>
      <c r="U85" s="26"/>
    </row>
    <row r="86" spans="1:21" hidden="1" x14ac:dyDescent="0.25">
      <c r="A86" s="16" t="s">
        <v>37</v>
      </c>
      <c r="B86" s="16" t="s">
        <v>257</v>
      </c>
      <c r="C86" s="16" t="s">
        <v>258</v>
      </c>
      <c r="D86" s="16" t="s">
        <v>104</v>
      </c>
      <c r="E86" s="16" t="s">
        <v>105</v>
      </c>
      <c r="F86" s="16" t="s">
        <v>112</v>
      </c>
      <c r="G86" s="16" t="s">
        <v>113</v>
      </c>
      <c r="H86" s="16" t="s">
        <v>85</v>
      </c>
      <c r="I86" s="16" t="s">
        <v>40</v>
      </c>
      <c r="J86" s="16" t="s">
        <v>114</v>
      </c>
      <c r="K86" s="16" t="s">
        <v>115</v>
      </c>
      <c r="L86" s="15">
        <v>-59999.829999999987</v>
      </c>
      <c r="M86" s="15">
        <v>-59999.829999999987</v>
      </c>
      <c r="N86" s="15">
        <v>0</v>
      </c>
      <c r="O86" s="15">
        <v>-59999.829999999987</v>
      </c>
      <c r="P86" s="15">
        <v>0</v>
      </c>
      <c r="Q86" s="15">
        <f t="shared" si="3"/>
        <v>0</v>
      </c>
      <c r="R86" s="15">
        <v>0</v>
      </c>
      <c r="S86" s="15">
        <f t="shared" si="4"/>
        <v>0</v>
      </c>
      <c r="T86" s="16"/>
      <c r="U86" s="15">
        <f>O86</f>
        <v>-59999.829999999987</v>
      </c>
    </row>
    <row r="87" spans="1:21" hidden="1" x14ac:dyDescent="0.25">
      <c r="A87" s="16" t="s">
        <v>37</v>
      </c>
      <c r="B87" s="16" t="s">
        <v>257</v>
      </c>
      <c r="C87" s="16" t="s">
        <v>258</v>
      </c>
      <c r="D87" s="16" t="s">
        <v>104</v>
      </c>
      <c r="E87" s="16" t="s">
        <v>105</v>
      </c>
      <c r="F87" s="16" t="s">
        <v>116</v>
      </c>
      <c r="G87" s="16" t="s">
        <v>117</v>
      </c>
      <c r="H87" s="16" t="s">
        <v>85</v>
      </c>
      <c r="I87" s="16" t="s">
        <v>40</v>
      </c>
      <c r="J87" s="16" t="s">
        <v>38</v>
      </c>
      <c r="K87" s="16" t="s">
        <v>293</v>
      </c>
      <c r="L87" s="15">
        <v>-551821.7503144138</v>
      </c>
      <c r="M87" s="15">
        <v>-28641.894</v>
      </c>
      <c r="N87" s="15">
        <v>-152426.30168518255</v>
      </c>
      <c r="O87" s="15">
        <v>-399395.44862923143</v>
      </c>
      <c r="P87" s="15">
        <v>-399395.44862923143</v>
      </c>
      <c r="Q87" s="15">
        <f>P87-R87+P88</f>
        <v>-430672.71112616372</v>
      </c>
      <c r="R87" s="15">
        <v>0</v>
      </c>
      <c r="S87" s="15">
        <f t="shared" si="4"/>
        <v>-430672.71112616372</v>
      </c>
      <c r="T87" s="16"/>
      <c r="U87" s="26"/>
    </row>
    <row r="88" spans="1:21" x14ac:dyDescent="0.25">
      <c r="A88" s="16" t="s">
        <v>37</v>
      </c>
      <c r="B88" s="16" t="s">
        <v>269</v>
      </c>
      <c r="C88" s="16" t="s">
        <v>270</v>
      </c>
      <c r="D88" s="16" t="s">
        <v>104</v>
      </c>
      <c r="E88" s="16" t="s">
        <v>105</v>
      </c>
      <c r="F88" s="16" t="s">
        <v>116</v>
      </c>
      <c r="G88" s="16" t="s">
        <v>117</v>
      </c>
      <c r="H88" s="16" t="s">
        <v>85</v>
      </c>
      <c r="I88" s="16" t="s">
        <v>40</v>
      </c>
      <c r="J88" s="16" t="s">
        <v>38</v>
      </c>
      <c r="K88" s="16" t="s">
        <v>293</v>
      </c>
      <c r="L88" s="15">
        <v>-36776.115120010014</v>
      </c>
      <c r="M88" s="15">
        <v>0</v>
      </c>
      <c r="N88" s="15">
        <v>-5498.8526230776961</v>
      </c>
      <c r="O88" s="15">
        <v>-31277.262496932319</v>
      </c>
      <c r="P88" s="15">
        <v>-31277.262496932319</v>
      </c>
      <c r="Q88" s="15">
        <f>P88-R88+31277</f>
        <v>-0.26249693231875426</v>
      </c>
      <c r="R88" s="15">
        <v>0</v>
      </c>
      <c r="S88" s="15">
        <f t="shared" si="4"/>
        <v>-0.26249693231875426</v>
      </c>
      <c r="T88" s="16"/>
      <c r="U88" s="16"/>
    </row>
    <row r="89" spans="1:21" hidden="1" x14ac:dyDescent="0.25">
      <c r="A89" s="16" t="s">
        <v>37</v>
      </c>
      <c r="B89" s="16" t="s">
        <v>257</v>
      </c>
      <c r="C89" s="16" t="s">
        <v>258</v>
      </c>
      <c r="D89" s="16" t="s">
        <v>104</v>
      </c>
      <c r="E89" s="16" t="s">
        <v>105</v>
      </c>
      <c r="F89" s="16" t="s">
        <v>116</v>
      </c>
      <c r="G89" s="16" t="s">
        <v>117</v>
      </c>
      <c r="H89" s="16" t="s">
        <v>85</v>
      </c>
      <c r="I89" s="16" t="s">
        <v>40</v>
      </c>
      <c r="J89" s="16" t="s">
        <v>296</v>
      </c>
      <c r="K89" s="16" t="s">
        <v>297</v>
      </c>
      <c r="L89" s="15">
        <v>-10195.2659726</v>
      </c>
      <c r="M89" s="15">
        <v>-1747.9829999999999</v>
      </c>
      <c r="N89" s="15">
        <v>-7251.7346899999993</v>
      </c>
      <c r="O89" s="15">
        <v>-2943.5312826000018</v>
      </c>
      <c r="P89" s="15">
        <v>-2943.5312826000018</v>
      </c>
      <c r="Q89" s="15">
        <f t="shared" si="3"/>
        <v>-2943.5312826000018</v>
      </c>
      <c r="R89" s="15">
        <v>0</v>
      </c>
      <c r="S89" s="15">
        <f t="shared" si="4"/>
        <v>-2943.5312826000018</v>
      </c>
      <c r="T89" s="16"/>
      <c r="U89" s="26"/>
    </row>
    <row r="90" spans="1:21" hidden="1" x14ac:dyDescent="0.25">
      <c r="A90" s="16" t="s">
        <v>37</v>
      </c>
      <c r="B90" s="16" t="s">
        <v>257</v>
      </c>
      <c r="C90" s="16" t="s">
        <v>258</v>
      </c>
      <c r="D90" s="16" t="s">
        <v>104</v>
      </c>
      <c r="E90" s="16" t="s">
        <v>105</v>
      </c>
      <c r="F90" s="16" t="s">
        <v>116</v>
      </c>
      <c r="G90" s="16" t="s">
        <v>117</v>
      </c>
      <c r="H90" s="16" t="s">
        <v>85</v>
      </c>
      <c r="I90" s="16" t="s">
        <v>40</v>
      </c>
      <c r="J90" s="16" t="s">
        <v>298</v>
      </c>
      <c r="K90" s="16" t="s">
        <v>299</v>
      </c>
      <c r="L90" s="15">
        <v>-151493.61123361596</v>
      </c>
      <c r="M90" s="15">
        <v>0</v>
      </c>
      <c r="N90" s="15">
        <v>-21609.366537652382</v>
      </c>
      <c r="O90" s="15">
        <v>-129884.24469596361</v>
      </c>
      <c r="P90" s="15">
        <v>-129884.24469596361</v>
      </c>
      <c r="Q90" s="15">
        <f t="shared" si="3"/>
        <v>-129884.24469596361</v>
      </c>
      <c r="R90" s="15">
        <v>0</v>
      </c>
      <c r="S90" s="15">
        <f t="shared" si="4"/>
        <v>-129884.24469596361</v>
      </c>
      <c r="T90" s="16"/>
      <c r="U90" s="26"/>
    </row>
    <row r="91" spans="1:21" x14ac:dyDescent="0.25">
      <c r="A91" s="16" t="s">
        <v>37</v>
      </c>
      <c r="B91" s="16" t="s">
        <v>269</v>
      </c>
      <c r="C91" s="16" t="s">
        <v>270</v>
      </c>
      <c r="D91" s="16" t="s">
        <v>104</v>
      </c>
      <c r="E91" s="16" t="s">
        <v>105</v>
      </c>
      <c r="F91" s="16" t="s">
        <v>116</v>
      </c>
      <c r="G91" s="16" t="s">
        <v>117</v>
      </c>
      <c r="H91" s="16" t="s">
        <v>85</v>
      </c>
      <c r="I91" s="16" t="s">
        <v>40</v>
      </c>
      <c r="J91" s="16" t="s">
        <v>62</v>
      </c>
      <c r="K91" s="16" t="s">
        <v>63</v>
      </c>
      <c r="L91" s="15">
        <v>-3524.5529999999994</v>
      </c>
      <c r="M91" s="15">
        <v>-3524.5529999999994</v>
      </c>
      <c r="N91" s="15">
        <v>-3524.5499952300042</v>
      </c>
      <c r="O91" s="15">
        <v>-3.004769995186507E-3</v>
      </c>
      <c r="P91" s="15">
        <v>0</v>
      </c>
      <c r="Q91" s="15">
        <f t="shared" si="3"/>
        <v>0</v>
      </c>
      <c r="R91" s="15">
        <v>0</v>
      </c>
      <c r="S91" s="15">
        <f t="shared" si="4"/>
        <v>0</v>
      </c>
      <c r="T91" s="16"/>
      <c r="U91" s="16"/>
    </row>
    <row r="92" spans="1:21" hidden="1" x14ac:dyDescent="0.25">
      <c r="A92" s="16" t="s">
        <v>37</v>
      </c>
      <c r="B92" s="16" t="s">
        <v>257</v>
      </c>
      <c r="C92" s="16" t="s">
        <v>258</v>
      </c>
      <c r="D92" s="16" t="s">
        <v>104</v>
      </c>
      <c r="E92" s="16" t="s">
        <v>105</v>
      </c>
      <c r="F92" s="16" t="s">
        <v>116</v>
      </c>
      <c r="G92" s="16" t="s">
        <v>117</v>
      </c>
      <c r="H92" s="16" t="s">
        <v>85</v>
      </c>
      <c r="I92" s="16" t="s">
        <v>40</v>
      </c>
      <c r="J92" s="16" t="s">
        <v>118</v>
      </c>
      <c r="K92" s="16" t="s">
        <v>119</v>
      </c>
      <c r="L92" s="15">
        <v>-4425.05</v>
      </c>
      <c r="M92" s="15">
        <v>0</v>
      </c>
      <c r="N92" s="15">
        <v>-4425.05</v>
      </c>
      <c r="O92" s="15">
        <v>0</v>
      </c>
      <c r="P92" s="15">
        <v>0</v>
      </c>
      <c r="Q92" s="15">
        <f t="shared" si="3"/>
        <v>0</v>
      </c>
      <c r="R92" s="15">
        <v>0</v>
      </c>
      <c r="S92" s="15">
        <f t="shared" si="4"/>
        <v>0</v>
      </c>
      <c r="T92" s="16"/>
      <c r="U92" s="26"/>
    </row>
    <row r="93" spans="1:21" hidden="1" x14ac:dyDescent="0.25">
      <c r="A93" s="16" t="s">
        <v>37</v>
      </c>
      <c r="B93" s="16" t="s">
        <v>257</v>
      </c>
      <c r="C93" s="16" t="s">
        <v>258</v>
      </c>
      <c r="D93" s="16" t="s">
        <v>104</v>
      </c>
      <c r="E93" s="16" t="s">
        <v>105</v>
      </c>
      <c r="F93" s="16" t="s">
        <v>120</v>
      </c>
      <c r="G93" s="16" t="s">
        <v>121</v>
      </c>
      <c r="H93" s="16" t="s">
        <v>85</v>
      </c>
      <c r="I93" s="16" t="s">
        <v>40</v>
      </c>
      <c r="J93" s="16" t="s">
        <v>38</v>
      </c>
      <c r="K93" s="16" t="s">
        <v>293</v>
      </c>
      <c r="L93" s="15">
        <v>-403940.27825639909</v>
      </c>
      <c r="M93" s="15">
        <v>-84991.265599999999</v>
      </c>
      <c r="N93" s="15">
        <v>-374755.67824867932</v>
      </c>
      <c r="O93" s="15">
        <v>-29184.600007719797</v>
      </c>
      <c r="P93" s="15">
        <v>-29184.600007719797</v>
      </c>
      <c r="Q93" s="15">
        <f>P93-R93+P94</f>
        <v>-89010.585003662505</v>
      </c>
      <c r="R93" s="15">
        <v>0</v>
      </c>
      <c r="S93" s="15">
        <f t="shared" si="4"/>
        <v>-89010.585003662505</v>
      </c>
      <c r="T93" s="16"/>
      <c r="U93" s="26"/>
    </row>
    <row r="94" spans="1:21" x14ac:dyDescent="0.25">
      <c r="A94" s="16" t="s">
        <v>37</v>
      </c>
      <c r="B94" s="16" t="s">
        <v>269</v>
      </c>
      <c r="C94" s="16" t="s">
        <v>270</v>
      </c>
      <c r="D94" s="16" t="s">
        <v>104</v>
      </c>
      <c r="E94" s="16" t="s">
        <v>105</v>
      </c>
      <c r="F94" s="16" t="s">
        <v>120</v>
      </c>
      <c r="G94" s="16" t="s">
        <v>121</v>
      </c>
      <c r="H94" s="16" t="s">
        <v>85</v>
      </c>
      <c r="I94" s="16" t="s">
        <v>40</v>
      </c>
      <c r="J94" s="16" t="s">
        <v>38</v>
      </c>
      <c r="K94" s="16" t="s">
        <v>293</v>
      </c>
      <c r="L94" s="15">
        <v>-85954.073546591375</v>
      </c>
      <c r="M94" s="15">
        <v>0</v>
      </c>
      <c r="N94" s="15">
        <v>-26128.088550648674</v>
      </c>
      <c r="O94" s="15">
        <v>-59825.984995942716</v>
      </c>
      <c r="P94" s="15">
        <v>-59825.984995942716</v>
      </c>
      <c r="Q94" s="15">
        <f>P94-R94+59826</f>
        <v>1.5004057284386363E-2</v>
      </c>
      <c r="R94" s="15">
        <v>0</v>
      </c>
      <c r="S94" s="15">
        <f t="shared" si="4"/>
        <v>1.5004057284386363E-2</v>
      </c>
      <c r="T94" s="16"/>
      <c r="U94" s="16"/>
    </row>
    <row r="95" spans="1:21" hidden="1" x14ac:dyDescent="0.25">
      <c r="A95" s="16" t="s">
        <v>37</v>
      </c>
      <c r="B95" s="16" t="s">
        <v>257</v>
      </c>
      <c r="C95" s="16" t="s">
        <v>258</v>
      </c>
      <c r="D95" s="16" t="s">
        <v>104</v>
      </c>
      <c r="E95" s="16" t="s">
        <v>105</v>
      </c>
      <c r="F95" s="16" t="s">
        <v>120</v>
      </c>
      <c r="G95" s="16" t="s">
        <v>121</v>
      </c>
      <c r="H95" s="16" t="s">
        <v>85</v>
      </c>
      <c r="I95" s="16" t="s">
        <v>40</v>
      </c>
      <c r="J95" s="16" t="s">
        <v>296</v>
      </c>
      <c r="K95" s="16" t="s">
        <v>297</v>
      </c>
      <c r="L95" s="15">
        <v>-20241.6959456</v>
      </c>
      <c r="M95" s="15">
        <v>-3470.447999999999</v>
      </c>
      <c r="N95" s="15">
        <v>-14397.604639999998</v>
      </c>
      <c r="O95" s="15">
        <v>-5844.0913056000009</v>
      </c>
      <c r="P95" s="15">
        <v>-5844.0913056000009</v>
      </c>
      <c r="Q95" s="15">
        <f t="shared" si="3"/>
        <v>-5844.0913056000009</v>
      </c>
      <c r="R95" s="15">
        <v>0</v>
      </c>
      <c r="S95" s="15">
        <f t="shared" si="4"/>
        <v>-5844.0913056000009</v>
      </c>
      <c r="T95" s="16"/>
      <c r="U95" s="26"/>
    </row>
    <row r="96" spans="1:21" hidden="1" x14ac:dyDescent="0.25">
      <c r="A96" s="16" t="s">
        <v>37</v>
      </c>
      <c r="B96" s="16" t="s">
        <v>257</v>
      </c>
      <c r="C96" s="16" t="s">
        <v>258</v>
      </c>
      <c r="D96" s="16" t="s">
        <v>104</v>
      </c>
      <c r="E96" s="16" t="s">
        <v>105</v>
      </c>
      <c r="F96" s="16" t="s">
        <v>120</v>
      </c>
      <c r="G96" s="16" t="s">
        <v>121</v>
      </c>
      <c r="H96" s="16" t="s">
        <v>85</v>
      </c>
      <c r="I96" s="16" t="s">
        <v>40</v>
      </c>
      <c r="J96" s="16" t="s">
        <v>298</v>
      </c>
      <c r="K96" s="16" t="s">
        <v>299</v>
      </c>
      <c r="L96" s="15">
        <v>-4944.8119483870978</v>
      </c>
      <c r="M96" s="15">
        <v>0</v>
      </c>
      <c r="N96" s="15">
        <v>-1955.0021379429995</v>
      </c>
      <c r="O96" s="15">
        <v>-2989.8098104440978</v>
      </c>
      <c r="P96" s="15">
        <v>-2989.8098104440978</v>
      </c>
      <c r="Q96" s="15">
        <f t="shared" si="3"/>
        <v>-2989.8098104440978</v>
      </c>
      <c r="R96" s="15">
        <v>0</v>
      </c>
      <c r="S96" s="15">
        <f t="shared" si="4"/>
        <v>-2989.8098104440978</v>
      </c>
      <c r="T96" s="16"/>
      <c r="U96" s="26"/>
    </row>
    <row r="97" spans="1:21" x14ac:dyDescent="0.25">
      <c r="A97" s="16" t="s">
        <v>37</v>
      </c>
      <c r="B97" s="16" t="s">
        <v>269</v>
      </c>
      <c r="C97" s="16" t="s">
        <v>270</v>
      </c>
      <c r="D97" s="16" t="s">
        <v>104</v>
      </c>
      <c r="E97" s="16" t="s">
        <v>105</v>
      </c>
      <c r="F97" s="16" t="s">
        <v>120</v>
      </c>
      <c r="G97" s="16" t="s">
        <v>121</v>
      </c>
      <c r="H97" s="16" t="s">
        <v>85</v>
      </c>
      <c r="I97" s="16" t="s">
        <v>40</v>
      </c>
      <c r="J97" s="16" t="s">
        <v>62</v>
      </c>
      <c r="K97" s="16" t="s">
        <v>63</v>
      </c>
      <c r="L97" s="15">
        <v>-7921.0080000000007</v>
      </c>
      <c r="M97" s="15">
        <v>-7921.0080000000007</v>
      </c>
      <c r="N97" s="15">
        <v>-7921.0099892799981</v>
      </c>
      <c r="O97" s="15">
        <v>1.9892799969269959E-3</v>
      </c>
      <c r="P97" s="15">
        <v>0</v>
      </c>
      <c r="Q97" s="15">
        <f t="shared" si="3"/>
        <v>0</v>
      </c>
      <c r="R97" s="15">
        <v>0</v>
      </c>
      <c r="S97" s="15">
        <f t="shared" si="4"/>
        <v>0</v>
      </c>
      <c r="T97" s="16"/>
      <c r="U97" s="16"/>
    </row>
    <row r="98" spans="1:21" x14ac:dyDescent="0.25">
      <c r="A98" s="16" t="s">
        <v>37</v>
      </c>
      <c r="B98" s="16" t="s">
        <v>269</v>
      </c>
      <c r="C98" s="16" t="s">
        <v>270</v>
      </c>
      <c r="D98" s="16" t="s">
        <v>104</v>
      </c>
      <c r="E98" s="16" t="s">
        <v>105</v>
      </c>
      <c r="F98" s="16" t="s">
        <v>122</v>
      </c>
      <c r="G98" s="16" t="s">
        <v>123</v>
      </c>
      <c r="H98" s="16" t="s">
        <v>85</v>
      </c>
      <c r="I98" s="16" t="s">
        <v>40</v>
      </c>
      <c r="J98" s="16" t="s">
        <v>38</v>
      </c>
      <c r="K98" s="16" t="s">
        <v>293</v>
      </c>
      <c r="L98" s="15">
        <v>-19342.896652360592</v>
      </c>
      <c r="M98" s="15">
        <v>0</v>
      </c>
      <c r="N98" s="15">
        <v>-5686.7016257294181</v>
      </c>
      <c r="O98" s="15">
        <v>-13656.195026631172</v>
      </c>
      <c r="P98" s="15">
        <v>-13656.195026631172</v>
      </c>
      <c r="Q98" s="15">
        <f>P98-R98+13656</f>
        <v>-0.19502663117236807</v>
      </c>
      <c r="R98" s="15">
        <v>0</v>
      </c>
      <c r="S98" s="15">
        <f t="shared" si="4"/>
        <v>-0.19502663117236807</v>
      </c>
      <c r="T98" s="16"/>
      <c r="U98" s="16"/>
    </row>
    <row r="99" spans="1:21" hidden="1" x14ac:dyDescent="0.25">
      <c r="A99" s="16" t="s">
        <v>37</v>
      </c>
      <c r="B99" s="16" t="s">
        <v>267</v>
      </c>
      <c r="C99" s="16" t="s">
        <v>268</v>
      </c>
      <c r="D99" s="16" t="s">
        <v>104</v>
      </c>
      <c r="E99" s="16" t="s">
        <v>105</v>
      </c>
      <c r="F99" s="16" t="s">
        <v>122</v>
      </c>
      <c r="G99" s="16" t="s">
        <v>123</v>
      </c>
      <c r="H99" s="16" t="s">
        <v>85</v>
      </c>
      <c r="I99" s="16" t="s">
        <v>40</v>
      </c>
      <c r="J99" s="16" t="s">
        <v>38</v>
      </c>
      <c r="K99" s="16" t="s">
        <v>293</v>
      </c>
      <c r="L99" s="15">
        <v>-1192459.7605022432</v>
      </c>
      <c r="M99" s="15">
        <v>-281956</v>
      </c>
      <c r="N99" s="15">
        <v>-327854.04341408605</v>
      </c>
      <c r="O99" s="15">
        <v>-864605.71708815719</v>
      </c>
      <c r="P99" s="15">
        <v>-864605.71708815719</v>
      </c>
      <c r="Q99" s="15">
        <f t="shared" si="3"/>
        <v>-864605.71708815719</v>
      </c>
      <c r="R99" s="15">
        <v>0</v>
      </c>
      <c r="S99" s="15">
        <f t="shared" si="4"/>
        <v>-864605.71708815719</v>
      </c>
      <c r="T99" s="16"/>
      <c r="U99" s="16"/>
    </row>
    <row r="100" spans="1:21" hidden="1" x14ac:dyDescent="0.25">
      <c r="A100" s="16" t="s">
        <v>37</v>
      </c>
      <c r="B100" s="16" t="s">
        <v>257</v>
      </c>
      <c r="C100" s="16" t="s">
        <v>258</v>
      </c>
      <c r="D100" s="16" t="s">
        <v>104</v>
      </c>
      <c r="E100" s="16" t="s">
        <v>105</v>
      </c>
      <c r="F100" s="16" t="s">
        <v>122</v>
      </c>
      <c r="G100" s="16" t="s">
        <v>123</v>
      </c>
      <c r="H100" s="16" t="s">
        <v>85</v>
      </c>
      <c r="I100" s="16" t="s">
        <v>40</v>
      </c>
      <c r="J100" s="16" t="s">
        <v>38</v>
      </c>
      <c r="K100" s="16" t="s">
        <v>293</v>
      </c>
      <c r="L100" s="15">
        <v>-155940.38020495852</v>
      </c>
      <c r="M100" s="15">
        <v>0</v>
      </c>
      <c r="N100" s="15">
        <v>-116979.9070200542</v>
      </c>
      <c r="O100" s="15">
        <v>-38960.473184904331</v>
      </c>
      <c r="P100" s="15">
        <v>-38960.473184904331</v>
      </c>
      <c r="Q100" s="15">
        <f>P100-R100+P98</f>
        <v>-52616.668211535507</v>
      </c>
      <c r="R100" s="15">
        <v>0</v>
      </c>
      <c r="S100" s="15">
        <f t="shared" si="4"/>
        <v>-52616.668211535507</v>
      </c>
      <c r="T100" s="16"/>
      <c r="U100" s="26"/>
    </row>
    <row r="101" spans="1:21" hidden="1" x14ac:dyDescent="0.25">
      <c r="A101" s="16" t="s">
        <v>37</v>
      </c>
      <c r="B101" s="16" t="s">
        <v>257</v>
      </c>
      <c r="C101" s="16" t="s">
        <v>258</v>
      </c>
      <c r="D101" s="16" t="s">
        <v>104</v>
      </c>
      <c r="E101" s="16" t="s">
        <v>105</v>
      </c>
      <c r="F101" s="16" t="s">
        <v>122</v>
      </c>
      <c r="G101" s="16" t="s">
        <v>123</v>
      </c>
      <c r="H101" s="16" t="s">
        <v>85</v>
      </c>
      <c r="I101" s="16" t="s">
        <v>40</v>
      </c>
      <c r="J101" s="16" t="s">
        <v>296</v>
      </c>
      <c r="K101" s="16" t="s">
        <v>297</v>
      </c>
      <c r="L101" s="15">
        <v>-5953.4399840000005</v>
      </c>
      <c r="M101" s="15">
        <v>-1020.72</v>
      </c>
      <c r="N101" s="15">
        <v>-4234.5896000000002</v>
      </c>
      <c r="O101" s="15">
        <v>-1718.8503840000003</v>
      </c>
      <c r="P101" s="15">
        <v>-1718.8503840000003</v>
      </c>
      <c r="Q101" s="15">
        <f t="shared" si="3"/>
        <v>-1718.8503840000003</v>
      </c>
      <c r="R101" s="15">
        <v>0</v>
      </c>
      <c r="S101" s="15">
        <f t="shared" si="4"/>
        <v>-1718.8503840000003</v>
      </c>
      <c r="T101" s="16"/>
      <c r="U101" s="26"/>
    </row>
    <row r="102" spans="1:21" hidden="1" x14ac:dyDescent="0.25">
      <c r="A102" s="16" t="s">
        <v>37</v>
      </c>
      <c r="B102" s="16" t="s">
        <v>267</v>
      </c>
      <c r="C102" s="16" t="s">
        <v>268</v>
      </c>
      <c r="D102" s="16" t="s">
        <v>104</v>
      </c>
      <c r="E102" s="16" t="s">
        <v>105</v>
      </c>
      <c r="F102" s="16" t="s">
        <v>122</v>
      </c>
      <c r="G102" s="16" t="s">
        <v>123</v>
      </c>
      <c r="H102" s="16" t="s">
        <v>85</v>
      </c>
      <c r="I102" s="16" t="s">
        <v>40</v>
      </c>
      <c r="J102" s="16" t="s">
        <v>124</v>
      </c>
      <c r="K102" s="16" t="s">
        <v>125</v>
      </c>
      <c r="L102" s="15">
        <v>-13049.616192966661</v>
      </c>
      <c r="M102" s="15">
        <v>0</v>
      </c>
      <c r="N102" s="15">
        <v>-11450.338299186993</v>
      </c>
      <c r="O102" s="15">
        <v>-1599.2778937796691</v>
      </c>
      <c r="P102" s="15">
        <v>0</v>
      </c>
      <c r="Q102" s="15">
        <f t="shared" si="3"/>
        <v>0</v>
      </c>
      <c r="R102" s="15">
        <v>0</v>
      </c>
      <c r="S102" s="15">
        <f t="shared" si="4"/>
        <v>0</v>
      </c>
      <c r="T102" s="16"/>
      <c r="U102" s="16"/>
    </row>
    <row r="103" spans="1:21" hidden="1" x14ac:dyDescent="0.25">
      <c r="A103" s="16" t="s">
        <v>37</v>
      </c>
      <c r="B103" s="16" t="s">
        <v>257</v>
      </c>
      <c r="C103" s="16" t="s">
        <v>258</v>
      </c>
      <c r="D103" s="16" t="s">
        <v>104</v>
      </c>
      <c r="E103" s="16" t="s">
        <v>105</v>
      </c>
      <c r="F103" s="16" t="s">
        <v>122</v>
      </c>
      <c r="G103" s="16" t="s">
        <v>123</v>
      </c>
      <c r="H103" s="16" t="s">
        <v>85</v>
      </c>
      <c r="I103" s="16" t="s">
        <v>40</v>
      </c>
      <c r="J103" s="16" t="s">
        <v>298</v>
      </c>
      <c r="K103" s="16" t="s">
        <v>299</v>
      </c>
      <c r="L103" s="15">
        <v>-78.741935483870961</v>
      </c>
      <c r="M103" s="15">
        <v>0</v>
      </c>
      <c r="N103" s="15">
        <v>-26.509935794800001</v>
      </c>
      <c r="O103" s="15">
        <v>-52.231999689070953</v>
      </c>
      <c r="P103" s="15">
        <v>-52.231999689070953</v>
      </c>
      <c r="Q103" s="15">
        <f t="shared" si="3"/>
        <v>-52.231999689070953</v>
      </c>
      <c r="R103" s="15">
        <v>0</v>
      </c>
      <c r="S103" s="15">
        <f t="shared" si="4"/>
        <v>-52.231999689070953</v>
      </c>
      <c r="T103" s="16"/>
      <c r="U103" s="26"/>
    </row>
    <row r="104" spans="1:21" x14ac:dyDescent="0.25">
      <c r="A104" s="16" t="s">
        <v>37</v>
      </c>
      <c r="B104" s="16" t="s">
        <v>269</v>
      </c>
      <c r="C104" s="16" t="s">
        <v>270</v>
      </c>
      <c r="D104" s="16" t="s">
        <v>104</v>
      </c>
      <c r="E104" s="16" t="s">
        <v>105</v>
      </c>
      <c r="F104" s="16" t="s">
        <v>122</v>
      </c>
      <c r="G104" s="16" t="s">
        <v>123</v>
      </c>
      <c r="H104" s="16" t="s">
        <v>85</v>
      </c>
      <c r="I104" s="16" t="s">
        <v>40</v>
      </c>
      <c r="J104" s="16" t="s">
        <v>62</v>
      </c>
      <c r="K104" s="16" t="s">
        <v>63</v>
      </c>
      <c r="L104" s="15">
        <v>-3916.1699999999992</v>
      </c>
      <c r="M104" s="15">
        <v>-3916.1699999999992</v>
      </c>
      <c r="N104" s="15">
        <v>-3916.1699946999997</v>
      </c>
      <c r="O104" s="15">
        <v>-5.2999997706137947E-6</v>
      </c>
      <c r="P104" s="15">
        <v>0</v>
      </c>
      <c r="Q104" s="15">
        <f t="shared" si="3"/>
        <v>0</v>
      </c>
      <c r="R104" s="15">
        <v>0</v>
      </c>
      <c r="S104" s="15">
        <f t="shared" si="4"/>
        <v>0</v>
      </c>
      <c r="T104" s="16"/>
      <c r="U104" s="16"/>
    </row>
    <row r="105" spans="1:21" hidden="1" x14ac:dyDescent="0.25">
      <c r="A105" s="16" t="s">
        <v>37</v>
      </c>
      <c r="B105" s="16" t="s">
        <v>267</v>
      </c>
      <c r="C105" s="16" t="s">
        <v>268</v>
      </c>
      <c r="D105" s="16" t="s">
        <v>104</v>
      </c>
      <c r="E105" s="16" t="s">
        <v>105</v>
      </c>
      <c r="F105" s="16" t="s">
        <v>122</v>
      </c>
      <c r="G105" s="16" t="s">
        <v>123</v>
      </c>
      <c r="H105" s="16" t="s">
        <v>85</v>
      </c>
      <c r="I105" s="16" t="s">
        <v>40</v>
      </c>
      <c r="J105" s="16" t="s">
        <v>71</v>
      </c>
      <c r="K105" s="16" t="s">
        <v>72</v>
      </c>
      <c r="L105" s="15">
        <v>-2072000</v>
      </c>
      <c r="M105" s="15">
        <v>0</v>
      </c>
      <c r="N105" s="15">
        <v>-208695.62999999998</v>
      </c>
      <c r="O105" s="15">
        <v>-1863304.37</v>
      </c>
      <c r="P105" s="15">
        <v>-1863304.37</v>
      </c>
      <c r="Q105" s="15">
        <f t="shared" si="3"/>
        <v>-1863304.37</v>
      </c>
      <c r="R105" s="15">
        <v>0</v>
      </c>
      <c r="S105" s="15">
        <f t="shared" si="4"/>
        <v>-1863304.37</v>
      </c>
      <c r="T105" s="16"/>
      <c r="U105" s="16"/>
    </row>
    <row r="106" spans="1:21" hidden="1" x14ac:dyDescent="0.25">
      <c r="A106" s="16" t="s">
        <v>37</v>
      </c>
      <c r="B106" s="16" t="s">
        <v>267</v>
      </c>
      <c r="C106" s="16" t="s">
        <v>268</v>
      </c>
      <c r="D106" s="16" t="s">
        <v>104</v>
      </c>
      <c r="E106" s="16" t="s">
        <v>105</v>
      </c>
      <c r="F106" s="16" t="s">
        <v>126</v>
      </c>
      <c r="G106" s="16" t="s">
        <v>127</v>
      </c>
      <c r="H106" s="16" t="s">
        <v>85</v>
      </c>
      <c r="I106" s="16" t="s">
        <v>40</v>
      </c>
      <c r="J106" s="16" t="s">
        <v>38</v>
      </c>
      <c r="K106" s="16" t="s">
        <v>293</v>
      </c>
      <c r="L106" s="15">
        <v>-991938.38925775676</v>
      </c>
      <c r="M106" s="15">
        <v>0</v>
      </c>
      <c r="N106" s="15">
        <v>-873123.37508591427</v>
      </c>
      <c r="O106" s="15">
        <v>-118815.01417184281</v>
      </c>
      <c r="P106" s="15">
        <v>-118815.01417184281</v>
      </c>
      <c r="Q106" s="15">
        <f t="shared" si="3"/>
        <v>-118815.01417184281</v>
      </c>
      <c r="R106" s="15">
        <v>0</v>
      </c>
      <c r="S106" s="15">
        <f t="shared" si="4"/>
        <v>-118815.01417184281</v>
      </c>
      <c r="T106" s="16"/>
      <c r="U106" s="16"/>
    </row>
    <row r="107" spans="1:21" x14ac:dyDescent="0.25">
      <c r="A107" s="16" t="s">
        <v>37</v>
      </c>
      <c r="B107" s="16" t="s">
        <v>269</v>
      </c>
      <c r="C107" s="16" t="s">
        <v>270</v>
      </c>
      <c r="D107" s="16" t="s">
        <v>104</v>
      </c>
      <c r="E107" s="16" t="s">
        <v>105</v>
      </c>
      <c r="F107" s="16" t="s">
        <v>126</v>
      </c>
      <c r="G107" s="16" t="s">
        <v>127</v>
      </c>
      <c r="H107" s="16" t="s">
        <v>85</v>
      </c>
      <c r="I107" s="16" t="s">
        <v>40</v>
      </c>
      <c r="J107" s="16" t="s">
        <v>38</v>
      </c>
      <c r="K107" s="16" t="s">
        <v>293</v>
      </c>
      <c r="L107" s="15">
        <v>-15747</v>
      </c>
      <c r="M107" s="15">
        <v>0</v>
      </c>
      <c r="N107" s="15">
        <v>0</v>
      </c>
      <c r="O107" s="15">
        <v>-15747</v>
      </c>
      <c r="P107" s="15">
        <v>-15747</v>
      </c>
      <c r="Q107" s="15">
        <f>P107-R107+15747</f>
        <v>0</v>
      </c>
      <c r="R107" s="15">
        <v>0</v>
      </c>
      <c r="S107" s="15">
        <f t="shared" si="4"/>
        <v>0</v>
      </c>
      <c r="T107" s="16"/>
      <c r="U107" s="16"/>
    </row>
    <row r="108" spans="1:21" hidden="1" x14ac:dyDescent="0.25">
      <c r="A108" s="16" t="s">
        <v>37</v>
      </c>
      <c r="B108" s="16" t="s">
        <v>257</v>
      </c>
      <c r="C108" s="16" t="s">
        <v>258</v>
      </c>
      <c r="D108" s="16" t="s">
        <v>104</v>
      </c>
      <c r="E108" s="16" t="s">
        <v>105</v>
      </c>
      <c r="F108" s="16" t="s">
        <v>126</v>
      </c>
      <c r="G108" s="16" t="s">
        <v>127</v>
      </c>
      <c r="H108" s="16" t="s">
        <v>85</v>
      </c>
      <c r="I108" s="16" t="s">
        <v>40</v>
      </c>
      <c r="J108" s="16" t="s">
        <v>38</v>
      </c>
      <c r="K108" s="16" t="s">
        <v>293</v>
      </c>
      <c r="L108" s="15">
        <v>2.9485090635716915E-7</v>
      </c>
      <c r="M108" s="15">
        <v>0</v>
      </c>
      <c r="N108" s="15">
        <v>-56.000000000000007</v>
      </c>
      <c r="O108" s="15">
        <v>56.000000294850906</v>
      </c>
      <c r="P108" s="15">
        <f>O108</f>
        <v>56.000000294850906</v>
      </c>
      <c r="Q108" s="15">
        <f>P108-R108+P107</f>
        <v>-15690.999999705149</v>
      </c>
      <c r="R108" s="15">
        <v>0</v>
      </c>
      <c r="S108" s="15">
        <f t="shared" si="4"/>
        <v>-15690.999999705149</v>
      </c>
      <c r="T108" s="16"/>
      <c r="U108" s="26"/>
    </row>
    <row r="109" spans="1:21" hidden="1" x14ac:dyDescent="0.25">
      <c r="A109" s="16" t="s">
        <v>37</v>
      </c>
      <c r="B109" s="16" t="s">
        <v>267</v>
      </c>
      <c r="C109" s="16" t="s">
        <v>268</v>
      </c>
      <c r="D109" s="16" t="s">
        <v>104</v>
      </c>
      <c r="E109" s="16" t="s">
        <v>105</v>
      </c>
      <c r="F109" s="16" t="s">
        <v>126</v>
      </c>
      <c r="G109" s="16" t="s">
        <v>127</v>
      </c>
      <c r="H109" s="16" t="s">
        <v>85</v>
      </c>
      <c r="I109" s="16" t="s">
        <v>40</v>
      </c>
      <c r="J109" s="16" t="s">
        <v>124</v>
      </c>
      <c r="K109" s="16" t="s">
        <v>125</v>
      </c>
      <c r="L109" s="15">
        <v>-82503.99539703333</v>
      </c>
      <c r="M109" s="15">
        <v>0</v>
      </c>
      <c r="N109" s="15">
        <v>-69446.541700813017</v>
      </c>
      <c r="O109" s="15">
        <v>-13057.453696220324</v>
      </c>
      <c r="P109" s="15">
        <v>0</v>
      </c>
      <c r="Q109" s="15">
        <f t="shared" si="3"/>
        <v>0</v>
      </c>
      <c r="R109" s="15">
        <v>0</v>
      </c>
      <c r="S109" s="15">
        <f t="shared" si="4"/>
        <v>0</v>
      </c>
      <c r="T109" s="16"/>
      <c r="U109" s="16"/>
    </row>
    <row r="110" spans="1:21" x14ac:dyDescent="0.25">
      <c r="A110" s="16" t="s">
        <v>37</v>
      </c>
      <c r="B110" s="16" t="s">
        <v>269</v>
      </c>
      <c r="C110" s="16" t="s">
        <v>270</v>
      </c>
      <c r="D110" s="16" t="s">
        <v>100</v>
      </c>
      <c r="E110" s="16" t="s">
        <v>101</v>
      </c>
      <c r="F110" s="16" t="s">
        <v>128</v>
      </c>
      <c r="G110" s="16" t="s">
        <v>129</v>
      </c>
      <c r="H110" s="16" t="s">
        <v>85</v>
      </c>
      <c r="I110" s="16" t="s">
        <v>40</v>
      </c>
      <c r="J110" s="16" t="s">
        <v>38</v>
      </c>
      <c r="K110" s="16" t="s">
        <v>293</v>
      </c>
      <c r="L110" s="15">
        <v>-90656.154264193028</v>
      </c>
      <c r="M110" s="15">
        <v>-5946.2613757498011</v>
      </c>
      <c r="N110" s="15">
        <v>-633206.52091066563</v>
      </c>
      <c r="O110" s="15">
        <v>542550.3666464726</v>
      </c>
      <c r="P110" s="15">
        <f>O110</f>
        <v>542550.3666464726</v>
      </c>
      <c r="Q110" s="15">
        <f>P110-R110-542550</f>
        <v>0.36664647259749472</v>
      </c>
      <c r="R110" s="15">
        <v>0</v>
      </c>
      <c r="S110" s="15">
        <f t="shared" si="4"/>
        <v>0.36664647259749472</v>
      </c>
      <c r="T110" s="16"/>
      <c r="U110" s="16"/>
    </row>
    <row r="111" spans="1:21" hidden="1" x14ac:dyDescent="0.25">
      <c r="A111" s="16" t="s">
        <v>37</v>
      </c>
      <c r="B111" s="16" t="s">
        <v>265</v>
      </c>
      <c r="C111" s="16" t="s">
        <v>266</v>
      </c>
      <c r="D111" s="16" t="s">
        <v>100</v>
      </c>
      <c r="E111" s="16" t="s">
        <v>101</v>
      </c>
      <c r="F111" s="16" t="s">
        <v>128</v>
      </c>
      <c r="G111" s="16" t="s">
        <v>129</v>
      </c>
      <c r="H111" s="16" t="s">
        <v>85</v>
      </c>
      <c r="I111" s="16" t="s">
        <v>40</v>
      </c>
      <c r="J111" s="16" t="s">
        <v>38</v>
      </c>
      <c r="K111" s="16" t="s">
        <v>293</v>
      </c>
      <c r="L111" s="15">
        <v>-104604.27194484325</v>
      </c>
      <c r="M111" s="15">
        <v>-207.7700043052651</v>
      </c>
      <c r="N111" s="15">
        <v>-100436.98215422445</v>
      </c>
      <c r="O111" s="15">
        <v>-4167.2897906187891</v>
      </c>
      <c r="P111" s="15">
        <v>-4167.2897906187891</v>
      </c>
      <c r="Q111" s="15">
        <f t="shared" si="3"/>
        <v>-4167.2897906187891</v>
      </c>
      <c r="R111" s="15">
        <v>0</v>
      </c>
      <c r="S111" s="15">
        <f t="shared" si="4"/>
        <v>-4167.2897906187891</v>
      </c>
      <c r="T111" s="16"/>
      <c r="U111" s="16"/>
    </row>
    <row r="112" spans="1:21" hidden="1" x14ac:dyDescent="0.25">
      <c r="A112" s="16" t="s">
        <v>37</v>
      </c>
      <c r="B112" s="16" t="s">
        <v>261</v>
      </c>
      <c r="C112" s="16" t="s">
        <v>262</v>
      </c>
      <c r="D112" s="16" t="s">
        <v>100</v>
      </c>
      <c r="E112" s="16" t="s">
        <v>101</v>
      </c>
      <c r="F112" s="16" t="s">
        <v>128</v>
      </c>
      <c r="G112" s="16" t="s">
        <v>129</v>
      </c>
      <c r="H112" s="16" t="s">
        <v>85</v>
      </c>
      <c r="I112" s="16" t="s">
        <v>40</v>
      </c>
      <c r="J112" s="16" t="s">
        <v>38</v>
      </c>
      <c r="K112" s="16" t="s">
        <v>293</v>
      </c>
      <c r="L112" s="15">
        <v>-146277.17261269793</v>
      </c>
      <c r="M112" s="15">
        <v>-15905.560000000001</v>
      </c>
      <c r="N112" s="15">
        <v>-124689.36954531149</v>
      </c>
      <c r="O112" s="15">
        <v>-21587.803067386427</v>
      </c>
      <c r="P112" s="15">
        <v>-21587.803067386427</v>
      </c>
      <c r="Q112" s="15">
        <f t="shared" si="3"/>
        <v>-21587.803067386427</v>
      </c>
      <c r="R112" s="15">
        <v>0</v>
      </c>
      <c r="S112" s="15">
        <f t="shared" si="4"/>
        <v>-21587.803067386427</v>
      </c>
      <c r="T112" s="16"/>
      <c r="U112" s="16"/>
    </row>
    <row r="113" spans="1:21" hidden="1" x14ac:dyDescent="0.25">
      <c r="A113" s="16" t="s">
        <v>37</v>
      </c>
      <c r="B113" s="16" t="s">
        <v>257</v>
      </c>
      <c r="C113" s="16" t="s">
        <v>258</v>
      </c>
      <c r="D113" s="16" t="s">
        <v>100</v>
      </c>
      <c r="E113" s="16" t="s">
        <v>101</v>
      </c>
      <c r="F113" s="16" t="s">
        <v>128</v>
      </c>
      <c r="G113" s="16" t="s">
        <v>129</v>
      </c>
      <c r="H113" s="16" t="s">
        <v>85</v>
      </c>
      <c r="I113" s="16" t="s">
        <v>40</v>
      </c>
      <c r="J113" s="16" t="s">
        <v>38</v>
      </c>
      <c r="K113" s="16" t="s">
        <v>293</v>
      </c>
      <c r="L113" s="15">
        <v>-1467588.4903199361</v>
      </c>
      <c r="M113" s="15">
        <v>-91230.434561292393</v>
      </c>
      <c r="N113" s="15">
        <v>-1564588.717992377</v>
      </c>
      <c r="O113" s="15">
        <v>97000.227672441484</v>
      </c>
      <c r="P113" s="15">
        <f>O113</f>
        <v>97000.227672441484</v>
      </c>
      <c r="Q113" s="15">
        <f>P113-R113+P110</f>
        <v>639550.59431891411</v>
      </c>
      <c r="R113" s="15">
        <v>0</v>
      </c>
      <c r="S113" s="15">
        <f t="shared" si="4"/>
        <v>639550.59431891411</v>
      </c>
      <c r="T113" s="16"/>
      <c r="U113" s="26"/>
    </row>
    <row r="114" spans="1:21" hidden="1" x14ac:dyDescent="0.25">
      <c r="A114" s="16" t="s">
        <v>37</v>
      </c>
      <c r="B114" s="16" t="s">
        <v>257</v>
      </c>
      <c r="C114" s="16" t="s">
        <v>258</v>
      </c>
      <c r="D114" s="16" t="s">
        <v>100</v>
      </c>
      <c r="E114" s="16" t="s">
        <v>101</v>
      </c>
      <c r="F114" s="16" t="s">
        <v>128</v>
      </c>
      <c r="G114" s="16" t="s">
        <v>129</v>
      </c>
      <c r="H114" s="16" t="s">
        <v>85</v>
      </c>
      <c r="I114" s="16" t="s">
        <v>40</v>
      </c>
      <c r="J114" s="16" t="s">
        <v>285</v>
      </c>
      <c r="K114" s="16" t="s">
        <v>286</v>
      </c>
      <c r="L114" s="15">
        <v>1.000000047497451E-4</v>
      </c>
      <c r="M114" s="15">
        <v>0</v>
      </c>
      <c r="N114" s="15">
        <v>0</v>
      </c>
      <c r="O114" s="15">
        <v>1.000000047497451E-4</v>
      </c>
      <c r="P114" s="15">
        <v>0</v>
      </c>
      <c r="Q114" s="15">
        <f t="shared" si="3"/>
        <v>0</v>
      </c>
      <c r="R114" s="15">
        <v>0</v>
      </c>
      <c r="S114" s="15">
        <f t="shared" si="4"/>
        <v>0</v>
      </c>
      <c r="T114" s="16"/>
      <c r="U114" s="26"/>
    </row>
    <row r="115" spans="1:21" x14ac:dyDescent="0.25">
      <c r="A115" s="16" t="s">
        <v>37</v>
      </c>
      <c r="B115" s="16" t="s">
        <v>269</v>
      </c>
      <c r="C115" s="16" t="s">
        <v>270</v>
      </c>
      <c r="D115" s="16" t="s">
        <v>100</v>
      </c>
      <c r="E115" s="16" t="s">
        <v>101</v>
      </c>
      <c r="F115" s="16" t="s">
        <v>128</v>
      </c>
      <c r="G115" s="16" t="s">
        <v>129</v>
      </c>
      <c r="H115" s="16" t="s">
        <v>85</v>
      </c>
      <c r="I115" s="16" t="s">
        <v>40</v>
      </c>
      <c r="J115" s="16" t="s">
        <v>130</v>
      </c>
      <c r="K115" s="16" t="s">
        <v>131</v>
      </c>
      <c r="L115" s="15">
        <v>-1681.4200000058054</v>
      </c>
      <c r="M115" s="15">
        <v>-1681.4200000058054</v>
      </c>
      <c r="N115" s="15">
        <v>0</v>
      </c>
      <c r="O115" s="15">
        <v>-1681.4200000058054</v>
      </c>
      <c r="P115" s="15">
        <v>-1681.4200000058054</v>
      </c>
      <c r="Q115" s="15">
        <f t="shared" si="3"/>
        <v>-1681.4200000058054</v>
      </c>
      <c r="R115" s="15">
        <v>0</v>
      </c>
      <c r="S115" s="15">
        <f t="shared" si="4"/>
        <v>-1681.4200000058054</v>
      </c>
      <c r="T115" s="16"/>
      <c r="U115" s="16"/>
    </row>
    <row r="116" spans="1:21" hidden="1" x14ac:dyDescent="0.25">
      <c r="A116" s="16" t="s">
        <v>37</v>
      </c>
      <c r="B116" s="16" t="s">
        <v>257</v>
      </c>
      <c r="C116" s="16" t="s">
        <v>258</v>
      </c>
      <c r="D116" s="16" t="s">
        <v>100</v>
      </c>
      <c r="E116" s="16" t="s">
        <v>101</v>
      </c>
      <c r="F116" s="16" t="s">
        <v>128</v>
      </c>
      <c r="G116" s="16" t="s">
        <v>129</v>
      </c>
      <c r="H116" s="16" t="s">
        <v>85</v>
      </c>
      <c r="I116" s="16" t="s">
        <v>40</v>
      </c>
      <c r="J116" s="16" t="s">
        <v>296</v>
      </c>
      <c r="K116" s="16" t="s">
        <v>297</v>
      </c>
      <c r="L116" s="15">
        <v>-1145.8249643228846</v>
      </c>
      <c r="M116" s="15">
        <v>-844.36826584999994</v>
      </c>
      <c r="N116" s="15">
        <v>-1002.1701719999837</v>
      </c>
      <c r="O116" s="15">
        <v>-143.65479232289363</v>
      </c>
      <c r="P116" s="15">
        <v>-143.65479232289363</v>
      </c>
      <c r="Q116" s="15">
        <f>P116-R116</f>
        <v>-143.65479232289363</v>
      </c>
      <c r="R116" s="15">
        <v>0</v>
      </c>
      <c r="S116" s="15">
        <f t="shared" si="4"/>
        <v>-143.65479232289363</v>
      </c>
      <c r="T116" s="16"/>
      <c r="U116" s="26"/>
    </row>
    <row r="117" spans="1:21" x14ac:dyDescent="0.25">
      <c r="A117" s="16" t="s">
        <v>37</v>
      </c>
      <c r="B117" s="16" t="s">
        <v>269</v>
      </c>
      <c r="C117" s="16" t="s">
        <v>270</v>
      </c>
      <c r="D117" s="16" t="s">
        <v>100</v>
      </c>
      <c r="E117" s="16" t="s">
        <v>101</v>
      </c>
      <c r="F117" s="16" t="s">
        <v>128</v>
      </c>
      <c r="G117" s="16" t="s">
        <v>129</v>
      </c>
      <c r="H117" s="16" t="s">
        <v>85</v>
      </c>
      <c r="I117" s="16" t="s">
        <v>40</v>
      </c>
      <c r="J117" s="16" t="s">
        <v>124</v>
      </c>
      <c r="K117" s="16" t="s">
        <v>125</v>
      </c>
      <c r="L117" s="15">
        <v>-321.07147538263666</v>
      </c>
      <c r="M117" s="15">
        <v>0</v>
      </c>
      <c r="N117" s="15">
        <v>-255.89999999999981</v>
      </c>
      <c r="O117" s="15">
        <v>-65.171475382636871</v>
      </c>
      <c r="P117" s="15">
        <v>0</v>
      </c>
      <c r="Q117" s="15">
        <f t="shared" si="3"/>
        <v>0</v>
      </c>
      <c r="R117" s="15">
        <v>0</v>
      </c>
      <c r="S117" s="15">
        <f t="shared" si="4"/>
        <v>0</v>
      </c>
      <c r="T117" s="16"/>
      <c r="U117" s="16"/>
    </row>
    <row r="118" spans="1:21" hidden="1" x14ac:dyDescent="0.25">
      <c r="A118" s="16" t="s">
        <v>37</v>
      </c>
      <c r="B118" s="16" t="s">
        <v>257</v>
      </c>
      <c r="C118" s="16" t="s">
        <v>258</v>
      </c>
      <c r="D118" s="16" t="s">
        <v>100</v>
      </c>
      <c r="E118" s="16" t="s">
        <v>101</v>
      </c>
      <c r="F118" s="16" t="s">
        <v>128</v>
      </c>
      <c r="G118" s="16" t="s">
        <v>129</v>
      </c>
      <c r="H118" s="16" t="s">
        <v>85</v>
      </c>
      <c r="I118" s="16" t="s">
        <v>40</v>
      </c>
      <c r="J118" s="16" t="s">
        <v>124</v>
      </c>
      <c r="K118" s="16" t="s">
        <v>125</v>
      </c>
      <c r="L118" s="15">
        <v>-135.2663</v>
      </c>
      <c r="M118" s="15">
        <v>0</v>
      </c>
      <c r="N118" s="15">
        <v>-102.38794399999999</v>
      </c>
      <c r="O118" s="15">
        <v>-32.878356000000025</v>
      </c>
      <c r="P118" s="15">
        <v>0</v>
      </c>
      <c r="Q118" s="15">
        <f t="shared" si="3"/>
        <v>0</v>
      </c>
      <c r="R118" s="15">
        <v>0</v>
      </c>
      <c r="S118" s="15">
        <f t="shared" si="4"/>
        <v>0</v>
      </c>
      <c r="T118" s="16"/>
      <c r="U118" s="26"/>
    </row>
    <row r="119" spans="1:21" hidden="1" x14ac:dyDescent="0.25">
      <c r="A119" s="16" t="s">
        <v>37</v>
      </c>
      <c r="B119" s="16" t="s">
        <v>261</v>
      </c>
      <c r="C119" s="16" t="s">
        <v>262</v>
      </c>
      <c r="D119" s="16" t="s">
        <v>100</v>
      </c>
      <c r="E119" s="16" t="s">
        <v>101</v>
      </c>
      <c r="F119" s="16" t="s">
        <v>128</v>
      </c>
      <c r="G119" s="16" t="s">
        <v>129</v>
      </c>
      <c r="H119" s="16" t="s">
        <v>85</v>
      </c>
      <c r="I119" s="16" t="s">
        <v>40</v>
      </c>
      <c r="J119" s="16" t="s">
        <v>124</v>
      </c>
      <c r="K119" s="16" t="s">
        <v>125</v>
      </c>
      <c r="L119" s="15">
        <v>-4621.5917088499991</v>
      </c>
      <c r="M119" s="15">
        <v>0</v>
      </c>
      <c r="N119" s="15">
        <v>-3202.3428616416004</v>
      </c>
      <c r="O119" s="15">
        <v>-1419.2488472083992</v>
      </c>
      <c r="P119" s="15">
        <v>0</v>
      </c>
      <c r="Q119" s="15">
        <f t="shared" si="3"/>
        <v>0</v>
      </c>
      <c r="R119" s="15">
        <v>0</v>
      </c>
      <c r="S119" s="15">
        <f t="shared" si="4"/>
        <v>0</v>
      </c>
      <c r="T119" s="16"/>
      <c r="U119" s="16"/>
    </row>
    <row r="120" spans="1:21" hidden="1" x14ac:dyDescent="0.25">
      <c r="A120" s="16" t="s">
        <v>37</v>
      </c>
      <c r="B120" s="16" t="s">
        <v>265</v>
      </c>
      <c r="C120" s="16" t="s">
        <v>266</v>
      </c>
      <c r="D120" s="16" t="s">
        <v>100</v>
      </c>
      <c r="E120" s="16" t="s">
        <v>101</v>
      </c>
      <c r="F120" s="16" t="s">
        <v>128</v>
      </c>
      <c r="G120" s="16" t="s">
        <v>129</v>
      </c>
      <c r="H120" s="16" t="s">
        <v>85</v>
      </c>
      <c r="I120" s="16" t="s">
        <v>40</v>
      </c>
      <c r="J120" s="16" t="s">
        <v>124</v>
      </c>
      <c r="K120" s="16" t="s">
        <v>125</v>
      </c>
      <c r="L120" s="15">
        <v>-11405.008737453461</v>
      </c>
      <c r="M120" s="15">
        <v>0</v>
      </c>
      <c r="N120" s="15">
        <v>-9136.4510849970629</v>
      </c>
      <c r="O120" s="15">
        <v>-2268.5576524563971</v>
      </c>
      <c r="P120" s="15">
        <v>0</v>
      </c>
      <c r="Q120" s="15">
        <f t="shared" si="3"/>
        <v>0</v>
      </c>
      <c r="R120" s="15">
        <v>0</v>
      </c>
      <c r="S120" s="15">
        <f t="shared" si="4"/>
        <v>0</v>
      </c>
      <c r="T120" s="16"/>
      <c r="U120" s="16"/>
    </row>
    <row r="121" spans="1:21" hidden="1" x14ac:dyDescent="0.25">
      <c r="A121" s="16" t="s">
        <v>37</v>
      </c>
      <c r="B121" s="16" t="s">
        <v>257</v>
      </c>
      <c r="C121" s="16" t="s">
        <v>258</v>
      </c>
      <c r="D121" s="16" t="s">
        <v>100</v>
      </c>
      <c r="E121" s="16" t="s">
        <v>101</v>
      </c>
      <c r="F121" s="16" t="s">
        <v>128</v>
      </c>
      <c r="G121" s="16" t="s">
        <v>129</v>
      </c>
      <c r="H121" s="16" t="s">
        <v>85</v>
      </c>
      <c r="I121" s="16" t="s">
        <v>40</v>
      </c>
      <c r="J121" s="16" t="s">
        <v>298</v>
      </c>
      <c r="K121" s="16" t="s">
        <v>299</v>
      </c>
      <c r="L121" s="15">
        <v>-137710.38071764025</v>
      </c>
      <c r="M121" s="15">
        <v>-435.59045400000008</v>
      </c>
      <c r="N121" s="15">
        <v>-73822.149265783781</v>
      </c>
      <c r="O121" s="15">
        <v>-63888.231451856489</v>
      </c>
      <c r="P121" s="15">
        <v>-63888.231451856489</v>
      </c>
      <c r="Q121" s="15">
        <f t="shared" si="3"/>
        <v>-63888.231451856489</v>
      </c>
      <c r="R121" s="15">
        <v>0</v>
      </c>
      <c r="S121" s="15">
        <f t="shared" si="4"/>
        <v>-63888.231451856489</v>
      </c>
      <c r="T121" s="16"/>
      <c r="U121" s="26"/>
    </row>
    <row r="122" spans="1:21" x14ac:dyDescent="0.25">
      <c r="A122" s="16" t="s">
        <v>37</v>
      </c>
      <c r="B122" s="16" t="s">
        <v>269</v>
      </c>
      <c r="C122" s="16" t="s">
        <v>270</v>
      </c>
      <c r="D122" s="16" t="s">
        <v>100</v>
      </c>
      <c r="E122" s="16" t="s">
        <v>101</v>
      </c>
      <c r="F122" s="16" t="s">
        <v>128</v>
      </c>
      <c r="G122" s="16" t="s">
        <v>129</v>
      </c>
      <c r="H122" s="16" t="s">
        <v>85</v>
      </c>
      <c r="I122" s="16" t="s">
        <v>40</v>
      </c>
      <c r="J122" s="16" t="s">
        <v>132</v>
      </c>
      <c r="K122" s="16" t="s">
        <v>133</v>
      </c>
      <c r="L122" s="15">
        <v>-10260.98531490727</v>
      </c>
      <c r="M122" s="15">
        <v>-10260.98531490727</v>
      </c>
      <c r="N122" s="15">
        <v>-10260.979998128665</v>
      </c>
      <c r="O122" s="15">
        <v>-5.3167786020367203E-3</v>
      </c>
      <c r="P122" s="15">
        <v>0</v>
      </c>
      <c r="Q122" s="15">
        <f t="shared" si="3"/>
        <v>0</v>
      </c>
      <c r="R122" s="15">
        <v>0</v>
      </c>
      <c r="S122" s="15">
        <f t="shared" si="4"/>
        <v>0</v>
      </c>
      <c r="T122" s="16"/>
      <c r="U122" s="16"/>
    </row>
    <row r="123" spans="1:21" x14ac:dyDescent="0.25">
      <c r="A123" s="16" t="s">
        <v>37</v>
      </c>
      <c r="B123" s="16" t="s">
        <v>269</v>
      </c>
      <c r="C123" s="16" t="s">
        <v>270</v>
      </c>
      <c r="D123" s="16" t="s">
        <v>100</v>
      </c>
      <c r="E123" s="16" t="s">
        <v>101</v>
      </c>
      <c r="F123" s="16" t="s">
        <v>128</v>
      </c>
      <c r="G123" s="16" t="s">
        <v>129</v>
      </c>
      <c r="H123" s="16" t="s">
        <v>85</v>
      </c>
      <c r="I123" s="16" t="s">
        <v>40</v>
      </c>
      <c r="J123" s="16" t="s">
        <v>64</v>
      </c>
      <c r="K123" s="16" t="s">
        <v>65</v>
      </c>
      <c r="L123" s="15">
        <v>-21561.963315181798</v>
      </c>
      <c r="M123" s="15">
        <v>0</v>
      </c>
      <c r="N123" s="15">
        <v>-18272.519971045389</v>
      </c>
      <c r="O123" s="15">
        <v>-3289.4433441364149</v>
      </c>
      <c r="P123" s="15">
        <v>-3289.4433441364149</v>
      </c>
      <c r="Q123" s="15">
        <f t="shared" si="3"/>
        <v>-3289.4433441364149</v>
      </c>
      <c r="R123" s="15">
        <v>0</v>
      </c>
      <c r="S123" s="15">
        <f t="shared" si="4"/>
        <v>-3289.4433441364149</v>
      </c>
      <c r="T123" s="16"/>
      <c r="U123" s="16"/>
    </row>
    <row r="124" spans="1:21" x14ac:dyDescent="0.25">
      <c r="A124" s="16" t="s">
        <v>37</v>
      </c>
      <c r="B124" s="16" t="s">
        <v>269</v>
      </c>
      <c r="C124" s="16" t="s">
        <v>270</v>
      </c>
      <c r="D124" s="16" t="s">
        <v>100</v>
      </c>
      <c r="E124" s="16" t="s">
        <v>101</v>
      </c>
      <c r="F124" s="16" t="s">
        <v>128</v>
      </c>
      <c r="G124" s="16" t="s">
        <v>129</v>
      </c>
      <c r="H124" s="16" t="s">
        <v>85</v>
      </c>
      <c r="I124" s="16" t="s">
        <v>40</v>
      </c>
      <c r="J124" s="16" t="s">
        <v>66</v>
      </c>
      <c r="K124" s="16" t="s">
        <v>63</v>
      </c>
      <c r="L124" s="15">
        <v>-21575.433222456802</v>
      </c>
      <c r="M124" s="15">
        <v>-21575.433222456802</v>
      </c>
      <c r="N124" s="15">
        <v>-21575.419981705989</v>
      </c>
      <c r="O124" s="15">
        <v>-1.3240750809814017E-2</v>
      </c>
      <c r="P124" s="15">
        <v>0</v>
      </c>
      <c r="Q124" s="15">
        <f t="shared" si="3"/>
        <v>0</v>
      </c>
      <c r="R124" s="15">
        <v>0</v>
      </c>
      <c r="S124" s="15">
        <f t="shared" si="4"/>
        <v>0</v>
      </c>
      <c r="T124" s="16"/>
      <c r="U124" s="16"/>
    </row>
    <row r="125" spans="1:21" hidden="1" x14ac:dyDescent="0.25">
      <c r="A125" s="16" t="s">
        <v>37</v>
      </c>
      <c r="B125" s="16" t="s">
        <v>257</v>
      </c>
      <c r="C125" s="16" t="s">
        <v>258</v>
      </c>
      <c r="D125" s="16" t="s">
        <v>100</v>
      </c>
      <c r="E125" s="16" t="s">
        <v>101</v>
      </c>
      <c r="F125" s="16" t="s">
        <v>128</v>
      </c>
      <c r="G125" s="16" t="s">
        <v>129</v>
      </c>
      <c r="H125" s="16" t="s">
        <v>85</v>
      </c>
      <c r="I125" s="16" t="s">
        <v>40</v>
      </c>
      <c r="J125" s="16" t="s">
        <v>67</v>
      </c>
      <c r="K125" s="16" t="s">
        <v>68</v>
      </c>
      <c r="L125" s="15">
        <v>-6120</v>
      </c>
      <c r="M125" s="15">
        <v>0</v>
      </c>
      <c r="N125" s="15">
        <v>0</v>
      </c>
      <c r="O125" s="15">
        <v>-6120</v>
      </c>
      <c r="P125" s="15">
        <v>-6120</v>
      </c>
      <c r="Q125" s="15">
        <f t="shared" si="3"/>
        <v>-6120</v>
      </c>
      <c r="R125" s="15">
        <v>0</v>
      </c>
      <c r="S125" s="15">
        <f t="shared" si="4"/>
        <v>-6120</v>
      </c>
      <c r="T125" s="16"/>
      <c r="U125" s="26"/>
    </row>
    <row r="126" spans="1:21" x14ac:dyDescent="0.25">
      <c r="A126" s="16" t="s">
        <v>37</v>
      </c>
      <c r="B126" s="16" t="s">
        <v>269</v>
      </c>
      <c r="C126" s="16" t="s">
        <v>270</v>
      </c>
      <c r="D126" s="16" t="s">
        <v>100</v>
      </c>
      <c r="E126" s="16" t="s">
        <v>101</v>
      </c>
      <c r="F126" s="16" t="s">
        <v>128</v>
      </c>
      <c r="G126" s="16" t="s">
        <v>129</v>
      </c>
      <c r="H126" s="16" t="s">
        <v>85</v>
      </c>
      <c r="I126" s="16" t="s">
        <v>40</v>
      </c>
      <c r="J126" s="16" t="s">
        <v>69</v>
      </c>
      <c r="K126" s="16" t="s">
        <v>70</v>
      </c>
      <c r="L126" s="15">
        <v>-808.83988496369807</v>
      </c>
      <c r="M126" s="15">
        <v>-808.83988496369807</v>
      </c>
      <c r="N126" s="15">
        <v>-808.849998564722</v>
      </c>
      <c r="O126" s="15">
        <v>1.0113601023761021E-2</v>
      </c>
      <c r="P126" s="15">
        <v>0</v>
      </c>
      <c r="Q126" s="15">
        <f t="shared" si="3"/>
        <v>0</v>
      </c>
      <c r="R126" s="15">
        <v>0</v>
      </c>
      <c r="S126" s="15">
        <f t="shared" si="4"/>
        <v>0</v>
      </c>
      <c r="T126" s="16"/>
      <c r="U126" s="15">
        <f>O126</f>
        <v>1.0113601023761021E-2</v>
      </c>
    </row>
    <row r="127" spans="1:21" hidden="1" x14ac:dyDescent="0.25">
      <c r="A127" s="16" t="s">
        <v>37</v>
      </c>
      <c r="B127" s="16" t="s">
        <v>261</v>
      </c>
      <c r="C127" s="16" t="s">
        <v>262</v>
      </c>
      <c r="D127" s="16" t="s">
        <v>100</v>
      </c>
      <c r="E127" s="16" t="s">
        <v>101</v>
      </c>
      <c r="F127" s="16" t="s">
        <v>128</v>
      </c>
      <c r="G127" s="16" t="s">
        <v>129</v>
      </c>
      <c r="H127" s="16" t="s">
        <v>85</v>
      </c>
      <c r="I127" s="16" t="s">
        <v>40</v>
      </c>
      <c r="J127" s="16" t="s">
        <v>69</v>
      </c>
      <c r="K127" s="16" t="s">
        <v>70</v>
      </c>
      <c r="L127" s="15">
        <v>-537.86999988499997</v>
      </c>
      <c r="M127" s="15">
        <v>-537.87</v>
      </c>
      <c r="N127" s="15">
        <v>-505.1268</v>
      </c>
      <c r="O127" s="15">
        <v>-32.743199885000024</v>
      </c>
      <c r="P127" s="15">
        <v>0</v>
      </c>
      <c r="Q127" s="15">
        <f t="shared" si="3"/>
        <v>0</v>
      </c>
      <c r="R127" s="15">
        <v>0</v>
      </c>
      <c r="S127" s="15">
        <f t="shared" si="4"/>
        <v>0</v>
      </c>
      <c r="T127" s="16"/>
      <c r="U127" s="15">
        <f t="shared" ref="U127:U128" si="5">O127</f>
        <v>-32.743199885000024</v>
      </c>
    </row>
    <row r="128" spans="1:21" hidden="1" x14ac:dyDescent="0.25">
      <c r="A128" s="16" t="s">
        <v>37</v>
      </c>
      <c r="B128" s="16" t="s">
        <v>257</v>
      </c>
      <c r="C128" s="16" t="s">
        <v>258</v>
      </c>
      <c r="D128" s="16" t="s">
        <v>100</v>
      </c>
      <c r="E128" s="16" t="s">
        <v>101</v>
      </c>
      <c r="F128" s="16" t="s">
        <v>128</v>
      </c>
      <c r="G128" s="16" t="s">
        <v>129</v>
      </c>
      <c r="H128" s="16" t="s">
        <v>85</v>
      </c>
      <c r="I128" s="16" t="s">
        <v>40</v>
      </c>
      <c r="J128" s="16" t="s">
        <v>69</v>
      </c>
      <c r="K128" s="16" t="s">
        <v>70</v>
      </c>
      <c r="L128" s="15">
        <v>-4082.2478340000002</v>
      </c>
      <c r="M128" s="15">
        <v>-4082.2478340000002</v>
      </c>
      <c r="N128" s="15">
        <v>-4030.5831589800014</v>
      </c>
      <c r="O128" s="15">
        <v>-51.664675019998867</v>
      </c>
      <c r="P128" s="15">
        <v>0</v>
      </c>
      <c r="Q128" s="15">
        <f t="shared" si="3"/>
        <v>0</v>
      </c>
      <c r="R128" s="15">
        <v>0</v>
      </c>
      <c r="S128" s="15">
        <f t="shared" si="4"/>
        <v>0</v>
      </c>
      <c r="T128" s="16"/>
      <c r="U128" s="15">
        <f t="shared" si="5"/>
        <v>-51.664675019998867</v>
      </c>
    </row>
    <row r="129" spans="1:21" hidden="1" x14ac:dyDescent="0.25">
      <c r="A129" s="16" t="s">
        <v>37</v>
      </c>
      <c r="B129" s="16" t="s">
        <v>257</v>
      </c>
      <c r="C129" s="16" t="s">
        <v>258</v>
      </c>
      <c r="D129" s="16" t="s">
        <v>100</v>
      </c>
      <c r="E129" s="16" t="s">
        <v>101</v>
      </c>
      <c r="F129" s="16" t="s">
        <v>128</v>
      </c>
      <c r="G129" s="16" t="s">
        <v>129</v>
      </c>
      <c r="H129" s="16" t="s">
        <v>85</v>
      </c>
      <c r="I129" s="16" t="s">
        <v>40</v>
      </c>
      <c r="J129" s="16" t="s">
        <v>134</v>
      </c>
      <c r="K129" s="16" t="s">
        <v>135</v>
      </c>
      <c r="L129" s="15">
        <v>-181817</v>
      </c>
      <c r="M129" s="15">
        <v>0</v>
      </c>
      <c r="N129" s="15">
        <v>0</v>
      </c>
      <c r="O129" s="15">
        <v>-181817</v>
      </c>
      <c r="P129" s="15">
        <v>-181817</v>
      </c>
      <c r="Q129" s="15">
        <f t="shared" si="3"/>
        <v>-181817</v>
      </c>
      <c r="R129" s="15">
        <v>0</v>
      </c>
      <c r="S129" s="15">
        <f t="shared" si="4"/>
        <v>-181817</v>
      </c>
      <c r="T129" s="16"/>
      <c r="U129" s="26"/>
    </row>
    <row r="130" spans="1:21" hidden="1" x14ac:dyDescent="0.25">
      <c r="A130" s="16" t="s">
        <v>37</v>
      </c>
      <c r="B130" s="16" t="s">
        <v>257</v>
      </c>
      <c r="C130" s="16" t="s">
        <v>258</v>
      </c>
      <c r="D130" s="16" t="s">
        <v>100</v>
      </c>
      <c r="E130" s="16" t="s">
        <v>101</v>
      </c>
      <c r="F130" s="16" t="s">
        <v>128</v>
      </c>
      <c r="G130" s="16" t="s">
        <v>129</v>
      </c>
      <c r="H130" s="16" t="s">
        <v>85</v>
      </c>
      <c r="I130" s="16" t="s">
        <v>40</v>
      </c>
      <c r="J130" s="16" t="s">
        <v>136</v>
      </c>
      <c r="K130" s="16" t="s">
        <v>137</v>
      </c>
      <c r="L130" s="15">
        <v>-41021.800000000025</v>
      </c>
      <c r="M130" s="15">
        <v>0</v>
      </c>
      <c r="N130" s="15">
        <v>-41021.799999999996</v>
      </c>
      <c r="O130" s="15">
        <v>-3.5498715078574605E-11</v>
      </c>
      <c r="P130" s="15">
        <v>-3.5498715078574605E-11</v>
      </c>
      <c r="Q130" s="15">
        <f t="shared" si="3"/>
        <v>-3.5498715078574605E-11</v>
      </c>
      <c r="R130" s="15">
        <v>0</v>
      </c>
      <c r="S130" s="15">
        <f t="shared" si="4"/>
        <v>-3.5498715078574605E-11</v>
      </c>
      <c r="T130" s="16"/>
      <c r="U130" s="26"/>
    </row>
    <row r="131" spans="1:21" hidden="1" x14ac:dyDescent="0.25">
      <c r="A131" s="16" t="s">
        <v>37</v>
      </c>
      <c r="B131" s="16" t="s">
        <v>265</v>
      </c>
      <c r="C131" s="16" t="s">
        <v>266</v>
      </c>
      <c r="D131" s="16" t="s">
        <v>100</v>
      </c>
      <c r="E131" s="16" t="s">
        <v>101</v>
      </c>
      <c r="F131" s="16" t="s">
        <v>128</v>
      </c>
      <c r="G131" s="16" t="s">
        <v>129</v>
      </c>
      <c r="H131" s="16" t="s">
        <v>85</v>
      </c>
      <c r="I131" s="16" t="s">
        <v>40</v>
      </c>
      <c r="J131" s="16" t="s">
        <v>138</v>
      </c>
      <c r="K131" s="16" t="s">
        <v>139</v>
      </c>
      <c r="L131" s="15">
        <v>-126.09095930767819</v>
      </c>
      <c r="M131" s="15">
        <v>0</v>
      </c>
      <c r="N131" s="15">
        <v>-126.09095930767818</v>
      </c>
      <c r="O131" s="15">
        <v>0</v>
      </c>
      <c r="P131" s="15">
        <v>0</v>
      </c>
      <c r="Q131" s="15">
        <f t="shared" si="3"/>
        <v>0</v>
      </c>
      <c r="R131" s="15">
        <v>0</v>
      </c>
      <c r="S131" s="15">
        <f t="shared" si="4"/>
        <v>0</v>
      </c>
      <c r="T131" s="16"/>
      <c r="U131" s="16"/>
    </row>
    <row r="132" spans="1:21" hidden="1" x14ac:dyDescent="0.25">
      <c r="A132" s="16" t="s">
        <v>37</v>
      </c>
      <c r="B132" s="16" t="s">
        <v>257</v>
      </c>
      <c r="C132" s="16" t="s">
        <v>258</v>
      </c>
      <c r="D132" s="16" t="s">
        <v>100</v>
      </c>
      <c r="E132" s="16" t="s">
        <v>101</v>
      </c>
      <c r="F132" s="16" t="s">
        <v>140</v>
      </c>
      <c r="G132" s="16" t="s">
        <v>141</v>
      </c>
      <c r="H132" s="16" t="s">
        <v>85</v>
      </c>
      <c r="I132" s="16" t="s">
        <v>40</v>
      </c>
      <c r="J132" s="16" t="s">
        <v>38</v>
      </c>
      <c r="K132" s="16" t="s">
        <v>293</v>
      </c>
      <c r="L132" s="15">
        <v>-4028735.1884522722</v>
      </c>
      <c r="M132" s="15">
        <v>-186230.57480532181</v>
      </c>
      <c r="N132" s="15">
        <v>-2592101.0238006269</v>
      </c>
      <c r="O132" s="15">
        <v>-1436634.1646516456</v>
      </c>
      <c r="P132" s="15">
        <v>-1436634.1646516456</v>
      </c>
      <c r="Q132" s="15">
        <f>P132-R132+P133</f>
        <v>-1396537.5224863824</v>
      </c>
      <c r="R132" s="15">
        <v>0</v>
      </c>
      <c r="S132" s="15">
        <f t="shared" si="4"/>
        <v>-1396537.5224863824</v>
      </c>
      <c r="T132" s="16"/>
      <c r="U132" s="26"/>
    </row>
    <row r="133" spans="1:21" x14ac:dyDescent="0.25">
      <c r="A133" s="16" t="s">
        <v>37</v>
      </c>
      <c r="B133" s="16" t="s">
        <v>269</v>
      </c>
      <c r="C133" s="16" t="s">
        <v>270</v>
      </c>
      <c r="D133" s="16" t="s">
        <v>100</v>
      </c>
      <c r="E133" s="16" t="s">
        <v>101</v>
      </c>
      <c r="F133" s="16" t="s">
        <v>140</v>
      </c>
      <c r="G133" s="16" t="s">
        <v>141</v>
      </c>
      <c r="H133" s="16" t="s">
        <v>85</v>
      </c>
      <c r="I133" s="16" t="s">
        <v>40</v>
      </c>
      <c r="J133" s="16" t="s">
        <v>38</v>
      </c>
      <c r="K133" s="16" t="s">
        <v>293</v>
      </c>
      <c r="L133" s="15">
        <v>-148577.61442437855</v>
      </c>
      <c r="M133" s="15">
        <v>-11210.88484715395</v>
      </c>
      <c r="N133" s="15">
        <v>-188674.25658964174</v>
      </c>
      <c r="O133" s="15">
        <v>40096.642165263169</v>
      </c>
      <c r="P133" s="15">
        <f>O133</f>
        <v>40096.642165263169</v>
      </c>
      <c r="Q133" s="15">
        <f>P133-R133-40097</f>
        <v>-0.35783473683113698</v>
      </c>
      <c r="R133" s="15">
        <v>0</v>
      </c>
      <c r="S133" s="15">
        <f t="shared" si="4"/>
        <v>-0.35783473683113698</v>
      </c>
      <c r="T133" s="16"/>
      <c r="U133" s="16"/>
    </row>
    <row r="134" spans="1:21" hidden="1" x14ac:dyDescent="0.25">
      <c r="A134" s="16" t="s">
        <v>37</v>
      </c>
      <c r="B134" s="16" t="s">
        <v>265</v>
      </c>
      <c r="C134" s="16" t="s">
        <v>266</v>
      </c>
      <c r="D134" s="16" t="s">
        <v>100</v>
      </c>
      <c r="E134" s="16" t="s">
        <v>101</v>
      </c>
      <c r="F134" s="16" t="s">
        <v>140</v>
      </c>
      <c r="G134" s="16" t="s">
        <v>141</v>
      </c>
      <c r="H134" s="16" t="s">
        <v>85</v>
      </c>
      <c r="I134" s="16" t="s">
        <v>40</v>
      </c>
      <c r="J134" s="16" t="s">
        <v>38</v>
      </c>
      <c r="K134" s="16" t="s">
        <v>293</v>
      </c>
      <c r="L134" s="15">
        <v>-794489.11343847611</v>
      </c>
      <c r="M134" s="15">
        <v>-31294.390648460532</v>
      </c>
      <c r="N134" s="15">
        <v>-740880.39849657589</v>
      </c>
      <c r="O134" s="15">
        <v>-53608.714941900311</v>
      </c>
      <c r="P134" s="15">
        <v>-53608.714941900311</v>
      </c>
      <c r="Q134" s="15">
        <f t="shared" si="3"/>
        <v>-53608.714941900311</v>
      </c>
      <c r="R134" s="15">
        <v>0</v>
      </c>
      <c r="S134" s="15">
        <f t="shared" si="4"/>
        <v>-53608.714941900311</v>
      </c>
      <c r="T134" s="16"/>
      <c r="U134" s="16"/>
    </row>
    <row r="135" spans="1:21" hidden="1" x14ac:dyDescent="0.25">
      <c r="A135" s="16" t="s">
        <v>37</v>
      </c>
      <c r="B135" s="16" t="s">
        <v>261</v>
      </c>
      <c r="C135" s="16" t="s">
        <v>262</v>
      </c>
      <c r="D135" s="16" t="s">
        <v>100</v>
      </c>
      <c r="E135" s="16" t="s">
        <v>101</v>
      </c>
      <c r="F135" s="16" t="s">
        <v>140</v>
      </c>
      <c r="G135" s="16" t="s">
        <v>141</v>
      </c>
      <c r="H135" s="16" t="s">
        <v>85</v>
      </c>
      <c r="I135" s="16" t="s">
        <v>40</v>
      </c>
      <c r="J135" s="16" t="s">
        <v>38</v>
      </c>
      <c r="K135" s="16" t="s">
        <v>293</v>
      </c>
      <c r="L135" s="15">
        <v>-274302.09735623305</v>
      </c>
      <c r="M135" s="15">
        <v>-61.659999999999989</v>
      </c>
      <c r="N135" s="15">
        <v>-259837.67774748703</v>
      </c>
      <c r="O135" s="15">
        <v>-14464.419608746051</v>
      </c>
      <c r="P135" s="15">
        <v>-14464.419608746051</v>
      </c>
      <c r="Q135" s="15">
        <f t="shared" si="3"/>
        <v>-14464.419608746051</v>
      </c>
      <c r="R135" s="15">
        <v>0</v>
      </c>
      <c r="S135" s="15">
        <f t="shared" si="4"/>
        <v>-14464.419608746051</v>
      </c>
      <c r="T135" s="16"/>
      <c r="U135" s="16"/>
    </row>
    <row r="136" spans="1:21" hidden="1" x14ac:dyDescent="0.25">
      <c r="A136" s="16" t="s">
        <v>37</v>
      </c>
      <c r="B136" s="16" t="s">
        <v>257</v>
      </c>
      <c r="C136" s="16" t="s">
        <v>258</v>
      </c>
      <c r="D136" s="16" t="s">
        <v>100</v>
      </c>
      <c r="E136" s="16" t="s">
        <v>101</v>
      </c>
      <c r="F136" s="16" t="s">
        <v>140</v>
      </c>
      <c r="G136" s="16" t="s">
        <v>141</v>
      </c>
      <c r="H136" s="16" t="s">
        <v>85</v>
      </c>
      <c r="I136" s="16" t="s">
        <v>40</v>
      </c>
      <c r="J136" s="16" t="s">
        <v>285</v>
      </c>
      <c r="K136" s="16" t="s">
        <v>286</v>
      </c>
      <c r="L136" s="15">
        <v>-397110.5</v>
      </c>
      <c r="M136" s="15">
        <v>-397110.5</v>
      </c>
      <c r="N136" s="15">
        <v>-285454.62</v>
      </c>
      <c r="O136" s="15">
        <v>-111655.88000000003</v>
      </c>
      <c r="P136" s="15">
        <f>O136</f>
        <v>-111655.88000000003</v>
      </c>
      <c r="Q136" s="15">
        <f t="shared" si="3"/>
        <v>13220.089999999967</v>
      </c>
      <c r="R136" s="15">
        <v>-124875.97</v>
      </c>
      <c r="S136" s="15">
        <f t="shared" si="4"/>
        <v>-111655.88000000003</v>
      </c>
      <c r="T136" s="16"/>
      <c r="U136" s="26"/>
    </row>
    <row r="137" spans="1:21" hidden="1" x14ac:dyDescent="0.25">
      <c r="A137" s="16" t="s">
        <v>37</v>
      </c>
      <c r="B137" s="16" t="s">
        <v>257</v>
      </c>
      <c r="C137" s="16" t="s">
        <v>258</v>
      </c>
      <c r="D137" s="16" t="s">
        <v>100</v>
      </c>
      <c r="E137" s="16" t="s">
        <v>101</v>
      </c>
      <c r="F137" s="16" t="s">
        <v>140</v>
      </c>
      <c r="G137" s="16" t="s">
        <v>141</v>
      </c>
      <c r="H137" s="16" t="s">
        <v>85</v>
      </c>
      <c r="I137" s="16" t="s">
        <v>40</v>
      </c>
      <c r="J137" s="16" t="s">
        <v>142</v>
      </c>
      <c r="K137" s="16" t="s">
        <v>143</v>
      </c>
      <c r="L137" s="15">
        <v>-6466.4320000000007</v>
      </c>
      <c r="M137" s="15">
        <v>0</v>
      </c>
      <c r="N137" s="15">
        <v>0</v>
      </c>
      <c r="O137" s="15">
        <v>-6466.4320000000007</v>
      </c>
      <c r="P137" s="15">
        <v>-6466.4320000000007</v>
      </c>
      <c r="Q137" s="15">
        <f t="shared" si="3"/>
        <v>-6466.4320000000007</v>
      </c>
      <c r="R137" s="15">
        <v>0</v>
      </c>
      <c r="S137" s="15">
        <f t="shared" si="4"/>
        <v>-6466.4320000000007</v>
      </c>
      <c r="T137" s="16"/>
      <c r="U137" s="26"/>
    </row>
    <row r="138" spans="1:21" x14ac:dyDescent="0.25">
      <c r="A138" s="16" t="s">
        <v>37</v>
      </c>
      <c r="B138" s="16" t="s">
        <v>269</v>
      </c>
      <c r="C138" s="16" t="s">
        <v>270</v>
      </c>
      <c r="D138" s="16" t="s">
        <v>100</v>
      </c>
      <c r="E138" s="16" t="s">
        <v>101</v>
      </c>
      <c r="F138" s="16" t="s">
        <v>140</v>
      </c>
      <c r="G138" s="16" t="s">
        <v>141</v>
      </c>
      <c r="H138" s="16" t="s">
        <v>85</v>
      </c>
      <c r="I138" s="16" t="s">
        <v>40</v>
      </c>
      <c r="J138" s="16" t="s">
        <v>130</v>
      </c>
      <c r="K138" s="16" t="s">
        <v>131</v>
      </c>
      <c r="L138" s="15">
        <v>-6657.7100000229866</v>
      </c>
      <c r="M138" s="15">
        <v>-6657.7100000229866</v>
      </c>
      <c r="N138" s="15">
        <v>0</v>
      </c>
      <c r="O138" s="15">
        <v>-6657.7100000229866</v>
      </c>
      <c r="P138" s="15">
        <v>-6657.7100000229866</v>
      </c>
      <c r="Q138" s="15">
        <f t="shared" si="3"/>
        <v>-6657.7100000229866</v>
      </c>
      <c r="R138" s="15">
        <v>0</v>
      </c>
      <c r="S138" s="15">
        <f t="shared" si="4"/>
        <v>-6657.7100000229866</v>
      </c>
      <c r="T138" s="16"/>
      <c r="U138" s="16"/>
    </row>
    <row r="139" spans="1:21" hidden="1" x14ac:dyDescent="0.25">
      <c r="A139" s="16" t="s">
        <v>37</v>
      </c>
      <c r="B139" s="16" t="s">
        <v>257</v>
      </c>
      <c r="C139" s="16" t="s">
        <v>258</v>
      </c>
      <c r="D139" s="16" t="s">
        <v>100</v>
      </c>
      <c r="E139" s="16" t="s">
        <v>101</v>
      </c>
      <c r="F139" s="16" t="s">
        <v>140</v>
      </c>
      <c r="G139" s="16" t="s">
        <v>141</v>
      </c>
      <c r="H139" s="16" t="s">
        <v>85</v>
      </c>
      <c r="I139" s="16" t="s">
        <v>40</v>
      </c>
      <c r="J139" s="16" t="s">
        <v>296</v>
      </c>
      <c r="K139" s="16" t="s">
        <v>297</v>
      </c>
      <c r="L139" s="15">
        <v>-6254.9849989086997</v>
      </c>
      <c r="M139" s="15">
        <v>-25.75603255</v>
      </c>
      <c r="N139" s="15">
        <v>-6051.5421159999996</v>
      </c>
      <c r="O139" s="15">
        <v>-203.44288290870054</v>
      </c>
      <c r="P139" s="15">
        <v>-203.44288290870054</v>
      </c>
      <c r="Q139" s="15">
        <f t="shared" si="3"/>
        <v>-203.44288290870054</v>
      </c>
      <c r="R139" s="15">
        <v>0</v>
      </c>
      <c r="S139" s="15">
        <f t="shared" si="4"/>
        <v>-203.44288290870054</v>
      </c>
      <c r="T139" s="16"/>
      <c r="U139" s="26"/>
    </row>
    <row r="140" spans="1:21" hidden="1" x14ac:dyDescent="0.25">
      <c r="A140" s="16" t="s">
        <v>37</v>
      </c>
      <c r="B140" s="16" t="s">
        <v>257</v>
      </c>
      <c r="C140" s="16" t="s">
        <v>258</v>
      </c>
      <c r="D140" s="16" t="s">
        <v>100</v>
      </c>
      <c r="E140" s="16" t="s">
        <v>101</v>
      </c>
      <c r="F140" s="16" t="s">
        <v>140</v>
      </c>
      <c r="G140" s="16" t="s">
        <v>141</v>
      </c>
      <c r="H140" s="16" t="s">
        <v>85</v>
      </c>
      <c r="I140" s="16" t="s">
        <v>40</v>
      </c>
      <c r="J140" s="16" t="s">
        <v>124</v>
      </c>
      <c r="K140" s="16" t="s">
        <v>125</v>
      </c>
      <c r="L140" s="15">
        <v>-149.5539</v>
      </c>
      <c r="M140" s="15">
        <v>0</v>
      </c>
      <c r="N140" s="15">
        <v>-113.156622</v>
      </c>
      <c r="O140" s="15">
        <v>-36.397277999999993</v>
      </c>
      <c r="P140" s="15">
        <v>0</v>
      </c>
      <c r="Q140" s="15">
        <f t="shared" ref="Q140:Q203" si="6">P140-R140</f>
        <v>0</v>
      </c>
      <c r="R140" s="15">
        <v>0</v>
      </c>
      <c r="S140" s="15">
        <f t="shared" ref="S140:S203" si="7">SUM(Q140:R140)</f>
        <v>0</v>
      </c>
      <c r="T140" s="16"/>
      <c r="U140" s="26"/>
    </row>
    <row r="141" spans="1:21" x14ac:dyDescent="0.25">
      <c r="A141" s="16" t="s">
        <v>37</v>
      </c>
      <c r="B141" s="16" t="s">
        <v>269</v>
      </c>
      <c r="C141" s="16" t="s">
        <v>270</v>
      </c>
      <c r="D141" s="16" t="s">
        <v>100</v>
      </c>
      <c r="E141" s="16" t="s">
        <v>101</v>
      </c>
      <c r="F141" s="16" t="s">
        <v>140</v>
      </c>
      <c r="G141" s="16" t="s">
        <v>141</v>
      </c>
      <c r="H141" s="16" t="s">
        <v>85</v>
      </c>
      <c r="I141" s="16" t="s">
        <v>40</v>
      </c>
      <c r="J141" s="16" t="s">
        <v>124</v>
      </c>
      <c r="K141" s="16" t="s">
        <v>125</v>
      </c>
      <c r="L141" s="15">
        <v>-671.56965108373811</v>
      </c>
      <c r="M141" s="15">
        <v>0</v>
      </c>
      <c r="N141" s="15">
        <v>-543.80999999999972</v>
      </c>
      <c r="O141" s="15">
        <v>-127.75965108373855</v>
      </c>
      <c r="P141" s="15">
        <v>0</v>
      </c>
      <c r="Q141" s="15">
        <f t="shared" si="6"/>
        <v>0</v>
      </c>
      <c r="R141" s="15">
        <v>0</v>
      </c>
      <c r="S141" s="15">
        <f t="shared" si="7"/>
        <v>0</v>
      </c>
      <c r="T141" s="16"/>
      <c r="U141" s="16"/>
    </row>
    <row r="142" spans="1:21" hidden="1" x14ac:dyDescent="0.25">
      <c r="A142" s="16" t="s">
        <v>37</v>
      </c>
      <c r="B142" s="16" t="s">
        <v>265</v>
      </c>
      <c r="C142" s="16" t="s">
        <v>266</v>
      </c>
      <c r="D142" s="16" t="s">
        <v>100</v>
      </c>
      <c r="E142" s="16" t="s">
        <v>101</v>
      </c>
      <c r="F142" s="16" t="s">
        <v>140</v>
      </c>
      <c r="G142" s="16" t="s">
        <v>141</v>
      </c>
      <c r="H142" s="16" t="s">
        <v>85</v>
      </c>
      <c r="I142" s="16" t="s">
        <v>40</v>
      </c>
      <c r="J142" s="16" t="s">
        <v>124</v>
      </c>
      <c r="K142" s="16" t="s">
        <v>125</v>
      </c>
      <c r="L142" s="15">
        <v>-51281.88845654724</v>
      </c>
      <c r="M142" s="15">
        <v>0</v>
      </c>
      <c r="N142" s="15">
        <v>-49764.879836642795</v>
      </c>
      <c r="O142" s="15">
        <v>-1517.0086199044713</v>
      </c>
      <c r="P142" s="15">
        <v>0</v>
      </c>
      <c r="Q142" s="15">
        <f t="shared" si="6"/>
        <v>0</v>
      </c>
      <c r="R142" s="15">
        <v>0</v>
      </c>
      <c r="S142" s="15">
        <f t="shared" si="7"/>
        <v>0</v>
      </c>
      <c r="T142" s="16"/>
      <c r="U142" s="16"/>
    </row>
    <row r="143" spans="1:21" hidden="1" x14ac:dyDescent="0.25">
      <c r="A143" s="16" t="s">
        <v>37</v>
      </c>
      <c r="B143" s="16" t="s">
        <v>261</v>
      </c>
      <c r="C143" s="16" t="s">
        <v>262</v>
      </c>
      <c r="D143" s="16" t="s">
        <v>100</v>
      </c>
      <c r="E143" s="16" t="s">
        <v>101</v>
      </c>
      <c r="F143" s="16" t="s">
        <v>140</v>
      </c>
      <c r="G143" s="16" t="s">
        <v>141</v>
      </c>
      <c r="H143" s="16" t="s">
        <v>85</v>
      </c>
      <c r="I143" s="16" t="s">
        <v>40</v>
      </c>
      <c r="J143" s="16" t="s">
        <v>124</v>
      </c>
      <c r="K143" s="16" t="s">
        <v>125</v>
      </c>
      <c r="L143" s="15">
        <v>-17062.097532159998</v>
      </c>
      <c r="M143" s="15">
        <v>0</v>
      </c>
      <c r="N143" s="15">
        <v>-17059.679897909598</v>
      </c>
      <c r="O143" s="15">
        <v>-2.417634250401079</v>
      </c>
      <c r="P143" s="15">
        <v>0</v>
      </c>
      <c r="Q143" s="15">
        <f t="shared" si="6"/>
        <v>0</v>
      </c>
      <c r="R143" s="15">
        <v>0</v>
      </c>
      <c r="S143" s="15">
        <f t="shared" si="7"/>
        <v>0</v>
      </c>
      <c r="T143" s="16"/>
      <c r="U143" s="16"/>
    </row>
    <row r="144" spans="1:21" hidden="1" x14ac:dyDescent="0.25">
      <c r="A144" s="16" t="s">
        <v>37</v>
      </c>
      <c r="B144" s="16" t="s">
        <v>257</v>
      </c>
      <c r="C144" s="16" t="s">
        <v>258</v>
      </c>
      <c r="D144" s="16" t="s">
        <v>100</v>
      </c>
      <c r="E144" s="16" t="s">
        <v>101</v>
      </c>
      <c r="F144" s="16" t="s">
        <v>140</v>
      </c>
      <c r="G144" s="16" t="s">
        <v>141</v>
      </c>
      <c r="H144" s="16" t="s">
        <v>85</v>
      </c>
      <c r="I144" s="16" t="s">
        <v>40</v>
      </c>
      <c r="J144" s="16" t="s">
        <v>298</v>
      </c>
      <c r="K144" s="16" t="s">
        <v>299</v>
      </c>
      <c r="L144" s="15">
        <v>-3006.4364575400004</v>
      </c>
      <c r="M144" s="15">
        <v>-122.97766500000003</v>
      </c>
      <c r="N144" s="15">
        <v>-1908.9943772926001</v>
      </c>
      <c r="O144" s="15">
        <v>-1097.4420802473999</v>
      </c>
      <c r="P144" s="15">
        <v>-1097.4420802473999</v>
      </c>
      <c r="Q144" s="15">
        <f t="shared" si="6"/>
        <v>-1097.4420802473999</v>
      </c>
      <c r="R144" s="15">
        <v>0</v>
      </c>
      <c r="S144" s="15">
        <f t="shared" si="7"/>
        <v>-1097.4420802473999</v>
      </c>
      <c r="T144" s="16"/>
      <c r="U144" s="26"/>
    </row>
    <row r="145" spans="1:21" x14ac:dyDescent="0.25">
      <c r="A145" s="16" t="s">
        <v>37</v>
      </c>
      <c r="B145" s="16" t="s">
        <v>269</v>
      </c>
      <c r="C145" s="16" t="s">
        <v>270</v>
      </c>
      <c r="D145" s="16" t="s">
        <v>100</v>
      </c>
      <c r="E145" s="16" t="s">
        <v>101</v>
      </c>
      <c r="F145" s="16" t="s">
        <v>140</v>
      </c>
      <c r="G145" s="16" t="s">
        <v>141</v>
      </c>
      <c r="H145" s="16" t="s">
        <v>85</v>
      </c>
      <c r="I145" s="16" t="s">
        <v>40</v>
      </c>
      <c r="J145" s="16" t="s">
        <v>132</v>
      </c>
      <c r="K145" s="16" t="s">
        <v>133</v>
      </c>
      <c r="L145" s="15">
        <v>-21710.466498866328</v>
      </c>
      <c r="M145" s="15">
        <v>-21710.466788866328</v>
      </c>
      <c r="N145" s="15">
        <v>-21710.459996040576</v>
      </c>
      <c r="O145" s="15">
        <v>-6.502825747247698E-3</v>
      </c>
      <c r="P145" s="15">
        <v>0</v>
      </c>
      <c r="Q145" s="15">
        <f t="shared" si="6"/>
        <v>0</v>
      </c>
      <c r="R145" s="15">
        <v>0</v>
      </c>
      <c r="S145" s="15">
        <f t="shared" si="7"/>
        <v>0</v>
      </c>
      <c r="T145" s="16"/>
      <c r="U145" s="16"/>
    </row>
    <row r="146" spans="1:21" x14ac:dyDescent="0.25">
      <c r="A146" s="16" t="s">
        <v>37</v>
      </c>
      <c r="B146" s="16" t="s">
        <v>269</v>
      </c>
      <c r="C146" s="16" t="s">
        <v>270</v>
      </c>
      <c r="D146" s="16" t="s">
        <v>100</v>
      </c>
      <c r="E146" s="16" t="s">
        <v>101</v>
      </c>
      <c r="F146" s="16" t="s">
        <v>140</v>
      </c>
      <c r="G146" s="16" t="s">
        <v>141</v>
      </c>
      <c r="H146" s="16" t="s">
        <v>85</v>
      </c>
      <c r="I146" s="16" t="s">
        <v>40</v>
      </c>
      <c r="J146" s="16" t="s">
        <v>64</v>
      </c>
      <c r="K146" s="16" t="s">
        <v>65</v>
      </c>
      <c r="L146" s="15">
        <v>-43740.610264091134</v>
      </c>
      <c r="M146" s="15">
        <v>0</v>
      </c>
      <c r="N146" s="15">
        <v>-37801.619940099605</v>
      </c>
      <c r="O146" s="15">
        <v>-5938.9903239915402</v>
      </c>
      <c r="P146" s="15">
        <v>-5938.9903239915402</v>
      </c>
      <c r="Q146" s="15">
        <f t="shared" si="6"/>
        <v>-5938.9903239915402</v>
      </c>
      <c r="R146" s="15">
        <v>0</v>
      </c>
      <c r="S146" s="15">
        <f t="shared" si="7"/>
        <v>-5938.9903239915402</v>
      </c>
      <c r="T146" s="16"/>
      <c r="U146" s="16"/>
    </row>
    <row r="147" spans="1:21" x14ac:dyDescent="0.25">
      <c r="A147" s="16" t="s">
        <v>37</v>
      </c>
      <c r="B147" s="16" t="s">
        <v>269</v>
      </c>
      <c r="C147" s="16" t="s">
        <v>270</v>
      </c>
      <c r="D147" s="16" t="s">
        <v>100</v>
      </c>
      <c r="E147" s="16" t="s">
        <v>101</v>
      </c>
      <c r="F147" s="16" t="s">
        <v>140</v>
      </c>
      <c r="G147" s="16" t="s">
        <v>141</v>
      </c>
      <c r="H147" s="16" t="s">
        <v>85</v>
      </c>
      <c r="I147" s="16" t="s">
        <v>40</v>
      </c>
      <c r="J147" s="16" t="s">
        <v>66</v>
      </c>
      <c r="K147" s="16" t="s">
        <v>63</v>
      </c>
      <c r="L147" s="15">
        <v>-29040.272935998135</v>
      </c>
      <c r="M147" s="15">
        <v>-29040.274205998139</v>
      </c>
      <c r="N147" s="15">
        <v>-29040.279975376459</v>
      </c>
      <c r="O147" s="15">
        <v>7.0393783280451316E-3</v>
      </c>
      <c r="P147" s="15">
        <v>0</v>
      </c>
      <c r="Q147" s="15">
        <f t="shared" si="6"/>
        <v>0</v>
      </c>
      <c r="R147" s="15">
        <v>0</v>
      </c>
      <c r="S147" s="15">
        <f t="shared" si="7"/>
        <v>0</v>
      </c>
      <c r="T147" s="16"/>
      <c r="U147" s="16"/>
    </row>
    <row r="148" spans="1:21" hidden="1" x14ac:dyDescent="0.25">
      <c r="A148" s="16" t="s">
        <v>37</v>
      </c>
      <c r="B148" s="16" t="s">
        <v>257</v>
      </c>
      <c r="C148" s="16" t="s">
        <v>258</v>
      </c>
      <c r="D148" s="16" t="s">
        <v>100</v>
      </c>
      <c r="E148" s="16" t="s">
        <v>101</v>
      </c>
      <c r="F148" s="16" t="s">
        <v>140</v>
      </c>
      <c r="G148" s="16" t="s">
        <v>141</v>
      </c>
      <c r="H148" s="16" t="s">
        <v>85</v>
      </c>
      <c r="I148" s="16" t="s">
        <v>40</v>
      </c>
      <c r="J148" s="16" t="s">
        <v>67</v>
      </c>
      <c r="K148" s="16" t="s">
        <v>68</v>
      </c>
      <c r="L148" s="15">
        <v>-2000</v>
      </c>
      <c r="M148" s="15">
        <v>0</v>
      </c>
      <c r="N148" s="15">
        <v>0</v>
      </c>
      <c r="O148" s="15">
        <v>-2000</v>
      </c>
      <c r="P148" s="15">
        <v>-2000</v>
      </c>
      <c r="Q148" s="15">
        <f t="shared" si="6"/>
        <v>-2000</v>
      </c>
      <c r="R148" s="15">
        <v>0</v>
      </c>
      <c r="S148" s="15">
        <f t="shared" si="7"/>
        <v>-2000</v>
      </c>
      <c r="T148" s="16"/>
      <c r="U148" s="26"/>
    </row>
    <row r="149" spans="1:21" x14ac:dyDescent="0.25">
      <c r="A149" s="16" t="s">
        <v>37</v>
      </c>
      <c r="B149" s="16" t="s">
        <v>269</v>
      </c>
      <c r="C149" s="16" t="s">
        <v>270</v>
      </c>
      <c r="D149" s="16" t="s">
        <v>100</v>
      </c>
      <c r="E149" s="16" t="s">
        <v>101</v>
      </c>
      <c r="F149" s="16" t="s">
        <v>140</v>
      </c>
      <c r="G149" s="16" t="s">
        <v>141</v>
      </c>
      <c r="H149" s="16" t="s">
        <v>85</v>
      </c>
      <c r="I149" s="16" t="s">
        <v>40</v>
      </c>
      <c r="J149" s="16" t="s">
        <v>69</v>
      </c>
      <c r="K149" s="16" t="s">
        <v>70</v>
      </c>
      <c r="L149" s="15">
        <v>-666.04809808324433</v>
      </c>
      <c r="M149" s="15">
        <v>-666.04809808324433</v>
      </c>
      <c r="N149" s="15">
        <v>-666.04999881811591</v>
      </c>
      <c r="O149" s="15">
        <v>1.900734871632892E-3</v>
      </c>
      <c r="P149" s="15">
        <v>0</v>
      </c>
      <c r="Q149" s="15">
        <f t="shared" si="6"/>
        <v>0</v>
      </c>
      <c r="R149" s="15">
        <v>0</v>
      </c>
      <c r="S149" s="15">
        <f t="shared" si="7"/>
        <v>0</v>
      </c>
      <c r="T149" s="16"/>
      <c r="U149" s="15">
        <f t="shared" ref="U149:U151" si="8">O149</f>
        <v>1.900734871632892E-3</v>
      </c>
    </row>
    <row r="150" spans="1:21" hidden="1" x14ac:dyDescent="0.25">
      <c r="A150" s="16" t="s">
        <v>37</v>
      </c>
      <c r="B150" s="16" t="s">
        <v>261</v>
      </c>
      <c r="C150" s="16" t="s">
        <v>262</v>
      </c>
      <c r="D150" s="16" t="s">
        <v>100</v>
      </c>
      <c r="E150" s="16" t="s">
        <v>101</v>
      </c>
      <c r="F150" s="16" t="s">
        <v>140</v>
      </c>
      <c r="G150" s="16" t="s">
        <v>141</v>
      </c>
      <c r="H150" s="16" t="s">
        <v>85</v>
      </c>
      <c r="I150" s="16" t="s">
        <v>40</v>
      </c>
      <c r="J150" s="16" t="s">
        <v>69</v>
      </c>
      <c r="K150" s="16" t="s">
        <v>70</v>
      </c>
      <c r="L150" s="15">
        <v>-1796.009899616</v>
      </c>
      <c r="M150" s="15">
        <v>-1796.01</v>
      </c>
      <c r="N150" s="15">
        <v>-1510.7033000000001</v>
      </c>
      <c r="O150" s="15">
        <v>-285.30659961599986</v>
      </c>
      <c r="P150" s="15">
        <v>0</v>
      </c>
      <c r="Q150" s="15">
        <f t="shared" si="6"/>
        <v>0</v>
      </c>
      <c r="R150" s="15">
        <v>0</v>
      </c>
      <c r="S150" s="15">
        <f t="shared" si="7"/>
        <v>0</v>
      </c>
      <c r="T150" s="16"/>
      <c r="U150" s="15">
        <f t="shared" si="8"/>
        <v>-285.30659961599986</v>
      </c>
    </row>
    <row r="151" spans="1:21" hidden="1" x14ac:dyDescent="0.25">
      <c r="A151" s="16" t="s">
        <v>37</v>
      </c>
      <c r="B151" s="16" t="s">
        <v>257</v>
      </c>
      <c r="C151" s="16" t="s">
        <v>258</v>
      </c>
      <c r="D151" s="16" t="s">
        <v>100</v>
      </c>
      <c r="E151" s="16" t="s">
        <v>101</v>
      </c>
      <c r="F151" s="16" t="s">
        <v>140</v>
      </c>
      <c r="G151" s="16" t="s">
        <v>141</v>
      </c>
      <c r="H151" s="16" t="s">
        <v>85</v>
      </c>
      <c r="I151" s="16" t="s">
        <v>40</v>
      </c>
      <c r="J151" s="16" t="s">
        <v>69</v>
      </c>
      <c r="K151" s="16" t="s">
        <v>70</v>
      </c>
      <c r="L151" s="15">
        <v>-1332.5309750000001</v>
      </c>
      <c r="M151" s="15">
        <v>-1332.5309750000001</v>
      </c>
      <c r="N151" s="15">
        <v>-1315.6665457500001</v>
      </c>
      <c r="O151" s="15">
        <v>-16.864429249999773</v>
      </c>
      <c r="P151" s="15">
        <v>0</v>
      </c>
      <c r="Q151" s="15">
        <f t="shared" si="6"/>
        <v>0</v>
      </c>
      <c r="R151" s="15">
        <v>0</v>
      </c>
      <c r="S151" s="15">
        <f t="shared" si="7"/>
        <v>0</v>
      </c>
      <c r="T151" s="16"/>
      <c r="U151" s="15">
        <f t="shared" si="8"/>
        <v>-16.864429249999773</v>
      </c>
    </row>
    <row r="152" spans="1:21" hidden="1" x14ac:dyDescent="0.25">
      <c r="A152" s="16" t="s">
        <v>37</v>
      </c>
      <c r="B152" s="16" t="s">
        <v>257</v>
      </c>
      <c r="C152" s="16" t="s">
        <v>258</v>
      </c>
      <c r="D152" s="16" t="s">
        <v>100</v>
      </c>
      <c r="E152" s="16" t="s">
        <v>101</v>
      </c>
      <c r="F152" s="16" t="s">
        <v>140</v>
      </c>
      <c r="G152" s="16" t="s">
        <v>141</v>
      </c>
      <c r="H152" s="16" t="s">
        <v>85</v>
      </c>
      <c r="I152" s="16" t="s">
        <v>40</v>
      </c>
      <c r="J152" s="16" t="s">
        <v>136</v>
      </c>
      <c r="K152" s="16" t="s">
        <v>137</v>
      </c>
      <c r="L152" s="15">
        <v>-45318.900000000031</v>
      </c>
      <c r="M152" s="15">
        <v>0</v>
      </c>
      <c r="N152" s="15">
        <v>-45318.9</v>
      </c>
      <c r="O152" s="15">
        <v>-3.637978807091713E-11</v>
      </c>
      <c r="P152" s="15">
        <v>-3.637978807091713E-11</v>
      </c>
      <c r="Q152" s="15">
        <f t="shared" si="6"/>
        <v>-3.637978807091713E-11</v>
      </c>
      <c r="R152" s="15">
        <v>0</v>
      </c>
      <c r="S152" s="15">
        <f t="shared" si="7"/>
        <v>-3.637978807091713E-11</v>
      </c>
      <c r="T152" s="16"/>
      <c r="U152" s="26"/>
    </row>
    <row r="153" spans="1:21" hidden="1" x14ac:dyDescent="0.25">
      <c r="A153" s="16" t="s">
        <v>37</v>
      </c>
      <c r="B153" s="16" t="s">
        <v>265</v>
      </c>
      <c r="C153" s="16" t="s">
        <v>266</v>
      </c>
      <c r="D153" s="16" t="s">
        <v>100</v>
      </c>
      <c r="E153" s="16" t="s">
        <v>101</v>
      </c>
      <c r="F153" s="16" t="s">
        <v>140</v>
      </c>
      <c r="G153" s="16" t="s">
        <v>141</v>
      </c>
      <c r="H153" s="16" t="s">
        <v>85</v>
      </c>
      <c r="I153" s="16" t="s">
        <v>40</v>
      </c>
      <c r="J153" s="16" t="s">
        <v>138</v>
      </c>
      <c r="K153" s="16" t="s">
        <v>139</v>
      </c>
      <c r="L153" s="15">
        <v>-769.60517663150699</v>
      </c>
      <c r="M153" s="15">
        <v>0</v>
      </c>
      <c r="N153" s="15">
        <v>-769.60517663150699</v>
      </c>
      <c r="O153" s="15">
        <v>5.6843418860808015E-14</v>
      </c>
      <c r="P153" s="15">
        <v>0</v>
      </c>
      <c r="Q153" s="15">
        <f t="shared" si="6"/>
        <v>0</v>
      </c>
      <c r="R153" s="15">
        <v>0</v>
      </c>
      <c r="S153" s="15">
        <f t="shared" si="7"/>
        <v>0</v>
      </c>
      <c r="T153" s="16"/>
      <c r="U153" s="16"/>
    </row>
    <row r="154" spans="1:21" x14ac:dyDescent="0.25">
      <c r="A154" s="16" t="s">
        <v>37</v>
      </c>
      <c r="B154" s="16" t="s">
        <v>269</v>
      </c>
      <c r="C154" s="16" t="s">
        <v>270</v>
      </c>
      <c r="D154" s="16" t="s">
        <v>100</v>
      </c>
      <c r="E154" s="16" t="s">
        <v>101</v>
      </c>
      <c r="F154" s="16" t="s">
        <v>144</v>
      </c>
      <c r="G154" s="16" t="s">
        <v>145</v>
      </c>
      <c r="H154" s="16" t="s">
        <v>85</v>
      </c>
      <c r="I154" s="16" t="s">
        <v>40</v>
      </c>
      <c r="J154" s="16" t="s">
        <v>38</v>
      </c>
      <c r="K154" s="16" t="s">
        <v>293</v>
      </c>
      <c r="L154" s="15">
        <v>-87154.49408469288</v>
      </c>
      <c r="M154" s="15">
        <v>-1998.1587479164443</v>
      </c>
      <c r="N154" s="15">
        <v>-113576.83324229773</v>
      </c>
      <c r="O154" s="15">
        <v>26422.339157604845</v>
      </c>
      <c r="P154" s="15">
        <f>O154</f>
        <v>26422.339157604845</v>
      </c>
      <c r="Q154" s="15">
        <f>P154-R154-26422</f>
        <v>0.33915760484524071</v>
      </c>
      <c r="R154" s="15">
        <v>0</v>
      </c>
      <c r="S154" s="15">
        <f t="shared" si="7"/>
        <v>0.33915760484524071</v>
      </c>
      <c r="T154" s="16"/>
      <c r="U154" s="16"/>
    </row>
    <row r="155" spans="1:21" hidden="1" x14ac:dyDescent="0.25">
      <c r="A155" s="16" t="s">
        <v>37</v>
      </c>
      <c r="B155" s="16" t="s">
        <v>265</v>
      </c>
      <c r="C155" s="16" t="s">
        <v>266</v>
      </c>
      <c r="D155" s="16" t="s">
        <v>100</v>
      </c>
      <c r="E155" s="16" t="s">
        <v>101</v>
      </c>
      <c r="F155" s="16" t="s">
        <v>144</v>
      </c>
      <c r="G155" s="16" t="s">
        <v>145</v>
      </c>
      <c r="H155" s="16" t="s">
        <v>85</v>
      </c>
      <c r="I155" s="16" t="s">
        <v>40</v>
      </c>
      <c r="J155" s="16" t="s">
        <v>38</v>
      </c>
      <c r="K155" s="16" t="s">
        <v>293</v>
      </c>
      <c r="L155" s="15">
        <v>-658900.91662970942</v>
      </c>
      <c r="M155" s="15">
        <v>-9958.4202063514367</v>
      </c>
      <c r="N155" s="15">
        <v>-618516.97375804605</v>
      </c>
      <c r="O155" s="15">
        <v>-40383.942871663334</v>
      </c>
      <c r="P155" s="15">
        <v>-40383.942871663334</v>
      </c>
      <c r="Q155" s="15">
        <f t="shared" si="6"/>
        <v>-40383.942871663334</v>
      </c>
      <c r="R155" s="15">
        <v>0</v>
      </c>
      <c r="S155" s="15">
        <f t="shared" si="7"/>
        <v>-40383.942871663334</v>
      </c>
      <c r="T155" s="16"/>
      <c r="U155" s="16"/>
    </row>
    <row r="156" spans="1:21" hidden="1" x14ac:dyDescent="0.25">
      <c r="A156" s="16" t="s">
        <v>37</v>
      </c>
      <c r="B156" s="16" t="s">
        <v>257</v>
      </c>
      <c r="C156" s="16" t="s">
        <v>258</v>
      </c>
      <c r="D156" s="16" t="s">
        <v>100</v>
      </c>
      <c r="E156" s="16" t="s">
        <v>101</v>
      </c>
      <c r="F156" s="16" t="s">
        <v>144</v>
      </c>
      <c r="G156" s="16" t="s">
        <v>145</v>
      </c>
      <c r="H156" s="16" t="s">
        <v>85</v>
      </c>
      <c r="I156" s="16" t="s">
        <v>40</v>
      </c>
      <c r="J156" s="16" t="s">
        <v>38</v>
      </c>
      <c r="K156" s="16" t="s">
        <v>293</v>
      </c>
      <c r="L156" s="15">
        <v>-742159.80312467972</v>
      </c>
      <c r="M156" s="15">
        <v>-66682.434830080892</v>
      </c>
      <c r="N156" s="15">
        <v>-469297.26454015228</v>
      </c>
      <c r="O156" s="15">
        <v>-272862.53858452721</v>
      </c>
      <c r="P156" s="15">
        <v>-272862.53858452721</v>
      </c>
      <c r="Q156" s="15">
        <f>P156-R156+P154</f>
        <v>-246440.19942692237</v>
      </c>
      <c r="R156" s="15">
        <v>0</v>
      </c>
      <c r="S156" s="15">
        <f t="shared" si="7"/>
        <v>-246440.19942692237</v>
      </c>
      <c r="T156" s="16"/>
      <c r="U156" s="26"/>
    </row>
    <row r="157" spans="1:21" x14ac:dyDescent="0.25">
      <c r="A157" s="16" t="s">
        <v>37</v>
      </c>
      <c r="B157" s="16" t="s">
        <v>269</v>
      </c>
      <c r="C157" s="16" t="s">
        <v>270</v>
      </c>
      <c r="D157" s="16" t="s">
        <v>100</v>
      </c>
      <c r="E157" s="16" t="s">
        <v>101</v>
      </c>
      <c r="F157" s="16" t="s">
        <v>144</v>
      </c>
      <c r="G157" s="16" t="s">
        <v>145</v>
      </c>
      <c r="H157" s="16" t="s">
        <v>85</v>
      </c>
      <c r="I157" s="16" t="s">
        <v>40</v>
      </c>
      <c r="J157" s="16" t="s">
        <v>130</v>
      </c>
      <c r="K157" s="16" t="s">
        <v>131</v>
      </c>
      <c r="L157" s="15">
        <v>-4230.6400000146059</v>
      </c>
      <c r="M157" s="15">
        <v>-4230.6400000146059</v>
      </c>
      <c r="N157" s="15">
        <v>0</v>
      </c>
      <c r="O157" s="15">
        <v>-4230.6400000146059</v>
      </c>
      <c r="P157" s="15">
        <v>-4230.6400000146059</v>
      </c>
      <c r="Q157" s="15">
        <f t="shared" si="6"/>
        <v>-4230.6400000146059</v>
      </c>
      <c r="R157" s="15">
        <v>0</v>
      </c>
      <c r="S157" s="15">
        <f t="shared" si="7"/>
        <v>-4230.6400000146059</v>
      </c>
      <c r="T157" s="16"/>
      <c r="U157" s="16"/>
    </row>
    <row r="158" spans="1:21" hidden="1" x14ac:dyDescent="0.25">
      <c r="A158" s="16" t="s">
        <v>37</v>
      </c>
      <c r="B158" s="16" t="s">
        <v>257</v>
      </c>
      <c r="C158" s="16" t="s">
        <v>258</v>
      </c>
      <c r="D158" s="16" t="s">
        <v>100</v>
      </c>
      <c r="E158" s="16" t="s">
        <v>101</v>
      </c>
      <c r="F158" s="16" t="s">
        <v>144</v>
      </c>
      <c r="G158" s="16" t="s">
        <v>145</v>
      </c>
      <c r="H158" s="16" t="s">
        <v>85</v>
      </c>
      <c r="I158" s="16" t="s">
        <v>40</v>
      </c>
      <c r="J158" s="16" t="s">
        <v>296</v>
      </c>
      <c r="K158" s="16" t="s">
        <v>297</v>
      </c>
      <c r="L158" s="15">
        <v>-7644.8649896330026</v>
      </c>
      <c r="M158" s="15">
        <v>0</v>
      </c>
      <c r="N158" s="15">
        <v>-7644.4730439999994</v>
      </c>
      <c r="O158" s="15">
        <v>-0.39194563300316076</v>
      </c>
      <c r="P158" s="15">
        <v>-0.39194563300316076</v>
      </c>
      <c r="Q158" s="15">
        <f t="shared" si="6"/>
        <v>-0.39194563300316076</v>
      </c>
      <c r="R158" s="15">
        <v>0</v>
      </c>
      <c r="S158" s="15">
        <f t="shared" si="7"/>
        <v>-0.39194563300316076</v>
      </c>
      <c r="T158" s="16"/>
      <c r="U158" s="26"/>
    </row>
    <row r="159" spans="1:21" x14ac:dyDescent="0.25">
      <c r="A159" s="16" t="s">
        <v>37</v>
      </c>
      <c r="B159" s="16" t="s">
        <v>269</v>
      </c>
      <c r="C159" s="16" t="s">
        <v>270</v>
      </c>
      <c r="D159" s="16" t="s">
        <v>100</v>
      </c>
      <c r="E159" s="16" t="s">
        <v>101</v>
      </c>
      <c r="F159" s="16" t="s">
        <v>144</v>
      </c>
      <c r="G159" s="16" t="s">
        <v>145</v>
      </c>
      <c r="H159" s="16" t="s">
        <v>85</v>
      </c>
      <c r="I159" s="16" t="s">
        <v>40</v>
      </c>
      <c r="J159" s="16" t="s">
        <v>124</v>
      </c>
      <c r="K159" s="16" t="s">
        <v>125</v>
      </c>
      <c r="L159" s="15">
        <v>-431.96273174689691</v>
      </c>
      <c r="M159" s="15">
        <v>0</v>
      </c>
      <c r="N159" s="15">
        <v>-305.80999999999977</v>
      </c>
      <c r="O159" s="15">
        <v>-126.15273174689719</v>
      </c>
      <c r="P159" s="15">
        <v>0</v>
      </c>
      <c r="Q159" s="15">
        <f t="shared" si="6"/>
        <v>0</v>
      </c>
      <c r="R159" s="15">
        <v>0</v>
      </c>
      <c r="S159" s="15">
        <f t="shared" si="7"/>
        <v>0</v>
      </c>
      <c r="T159" s="16"/>
      <c r="U159" s="16"/>
    </row>
    <row r="160" spans="1:21" hidden="1" x14ac:dyDescent="0.25">
      <c r="A160" s="16" t="s">
        <v>37</v>
      </c>
      <c r="B160" s="16" t="s">
        <v>265</v>
      </c>
      <c r="C160" s="16" t="s">
        <v>266</v>
      </c>
      <c r="D160" s="16" t="s">
        <v>100</v>
      </c>
      <c r="E160" s="16" t="s">
        <v>101</v>
      </c>
      <c r="F160" s="16" t="s">
        <v>144</v>
      </c>
      <c r="G160" s="16" t="s">
        <v>145</v>
      </c>
      <c r="H160" s="16" t="s">
        <v>85</v>
      </c>
      <c r="I160" s="16" t="s">
        <v>40</v>
      </c>
      <c r="J160" s="16" t="s">
        <v>124</v>
      </c>
      <c r="K160" s="16" t="s">
        <v>125</v>
      </c>
      <c r="L160" s="15">
        <v>-71981.315083330468</v>
      </c>
      <c r="M160" s="15">
        <v>0</v>
      </c>
      <c r="N160" s="15">
        <v>-56762.0627143245</v>
      </c>
      <c r="O160" s="15">
        <v>-15219.252369005982</v>
      </c>
      <c r="P160" s="15">
        <v>0</v>
      </c>
      <c r="Q160" s="15">
        <f t="shared" si="6"/>
        <v>0</v>
      </c>
      <c r="R160" s="15">
        <v>0</v>
      </c>
      <c r="S160" s="15">
        <f t="shared" si="7"/>
        <v>0</v>
      </c>
      <c r="T160" s="16"/>
      <c r="U160" s="16"/>
    </row>
    <row r="161" spans="1:21" hidden="1" x14ac:dyDescent="0.25">
      <c r="A161" s="16" t="s">
        <v>37</v>
      </c>
      <c r="B161" s="16" t="s">
        <v>257</v>
      </c>
      <c r="C161" s="16" t="s">
        <v>258</v>
      </c>
      <c r="D161" s="16" t="s">
        <v>100</v>
      </c>
      <c r="E161" s="16" t="s">
        <v>101</v>
      </c>
      <c r="F161" s="16" t="s">
        <v>144</v>
      </c>
      <c r="G161" s="16" t="s">
        <v>145</v>
      </c>
      <c r="H161" s="16" t="s">
        <v>85</v>
      </c>
      <c r="I161" s="16" t="s">
        <v>40</v>
      </c>
      <c r="J161" s="16" t="s">
        <v>124</v>
      </c>
      <c r="K161" s="16" t="s">
        <v>125</v>
      </c>
      <c r="L161" s="15">
        <v>-56.995099999999987</v>
      </c>
      <c r="M161" s="15">
        <v>0</v>
      </c>
      <c r="N161" s="15">
        <v>-43.131703999999999</v>
      </c>
      <c r="O161" s="15">
        <v>-13.863395999999989</v>
      </c>
      <c r="P161" s="15">
        <v>0</v>
      </c>
      <c r="Q161" s="15">
        <f t="shared" si="6"/>
        <v>0</v>
      </c>
      <c r="R161" s="15">
        <v>0</v>
      </c>
      <c r="S161" s="15">
        <f t="shared" si="7"/>
        <v>0</v>
      </c>
      <c r="T161" s="16"/>
      <c r="U161" s="26"/>
    </row>
    <row r="162" spans="1:21" hidden="1" x14ac:dyDescent="0.25">
      <c r="A162" s="16" t="s">
        <v>37</v>
      </c>
      <c r="B162" s="16" t="s">
        <v>257</v>
      </c>
      <c r="C162" s="16" t="s">
        <v>258</v>
      </c>
      <c r="D162" s="16" t="s">
        <v>100</v>
      </c>
      <c r="E162" s="16" t="s">
        <v>101</v>
      </c>
      <c r="F162" s="16" t="s">
        <v>144</v>
      </c>
      <c r="G162" s="16" t="s">
        <v>145</v>
      </c>
      <c r="H162" s="16" t="s">
        <v>85</v>
      </c>
      <c r="I162" s="16" t="s">
        <v>40</v>
      </c>
      <c r="J162" s="16" t="s">
        <v>298</v>
      </c>
      <c r="K162" s="16" t="s">
        <v>299</v>
      </c>
      <c r="L162" s="15">
        <v>-2010.0617620200005</v>
      </c>
      <c r="M162" s="15">
        <v>-82.341567000000012</v>
      </c>
      <c r="N162" s="15">
        <v>-1275.6103594853998</v>
      </c>
      <c r="O162" s="15">
        <v>-734.45140253460056</v>
      </c>
      <c r="P162" s="15">
        <v>-734.45140253460056</v>
      </c>
      <c r="Q162" s="15">
        <f t="shared" si="6"/>
        <v>-734.45140253460056</v>
      </c>
      <c r="R162" s="15">
        <v>0</v>
      </c>
      <c r="S162" s="15">
        <f t="shared" si="7"/>
        <v>-734.45140253460056</v>
      </c>
      <c r="T162" s="16"/>
      <c r="U162" s="26"/>
    </row>
    <row r="163" spans="1:21" x14ac:dyDescent="0.25">
      <c r="A163" s="16" t="s">
        <v>37</v>
      </c>
      <c r="B163" s="16" t="s">
        <v>269</v>
      </c>
      <c r="C163" s="16" t="s">
        <v>270</v>
      </c>
      <c r="D163" s="16" t="s">
        <v>100</v>
      </c>
      <c r="E163" s="16" t="s">
        <v>101</v>
      </c>
      <c r="F163" s="16" t="s">
        <v>144</v>
      </c>
      <c r="G163" s="16" t="s">
        <v>145</v>
      </c>
      <c r="H163" s="16" t="s">
        <v>85</v>
      </c>
      <c r="I163" s="16" t="s">
        <v>40</v>
      </c>
      <c r="J163" s="16" t="s">
        <v>132</v>
      </c>
      <c r="K163" s="16" t="s">
        <v>133</v>
      </c>
      <c r="L163" s="15">
        <v>-10469.410240962792</v>
      </c>
      <c r="M163" s="15">
        <v>-10469.410240962792</v>
      </c>
      <c r="N163" s="15">
        <v>-10469.409998090654</v>
      </c>
      <c r="O163" s="15">
        <v>-2.4287214142759694E-4</v>
      </c>
      <c r="P163" s="15">
        <v>0</v>
      </c>
      <c r="Q163" s="15">
        <f t="shared" si="6"/>
        <v>0</v>
      </c>
      <c r="R163" s="15">
        <v>0</v>
      </c>
      <c r="S163" s="15">
        <f t="shared" si="7"/>
        <v>0</v>
      </c>
      <c r="T163" s="16"/>
      <c r="U163" s="16"/>
    </row>
    <row r="164" spans="1:21" hidden="1" x14ac:dyDescent="0.25">
      <c r="A164" s="16" t="s">
        <v>37</v>
      </c>
      <c r="B164" s="16" t="s">
        <v>257</v>
      </c>
      <c r="C164" s="16" t="s">
        <v>258</v>
      </c>
      <c r="D164" s="16" t="s">
        <v>100</v>
      </c>
      <c r="E164" s="16" t="s">
        <v>101</v>
      </c>
      <c r="F164" s="16" t="s">
        <v>144</v>
      </c>
      <c r="G164" s="16" t="s">
        <v>145</v>
      </c>
      <c r="H164" s="16" t="s">
        <v>85</v>
      </c>
      <c r="I164" s="16" t="s">
        <v>40</v>
      </c>
      <c r="J164" s="16" t="s">
        <v>132</v>
      </c>
      <c r="K164" s="16" t="s">
        <v>133</v>
      </c>
      <c r="L164" s="15">
        <v>-250002.03</v>
      </c>
      <c r="M164" s="15">
        <v>-250002.03</v>
      </c>
      <c r="N164" s="15">
        <v>-250000</v>
      </c>
      <c r="O164" s="15">
        <v>-2.0299999999988358</v>
      </c>
      <c r="P164" s="15">
        <v>0</v>
      </c>
      <c r="Q164" s="15">
        <f t="shared" si="6"/>
        <v>0</v>
      </c>
      <c r="R164" s="15">
        <v>0</v>
      </c>
      <c r="S164" s="15">
        <f t="shared" si="7"/>
        <v>0</v>
      </c>
      <c r="T164" s="16"/>
      <c r="U164" s="26"/>
    </row>
    <row r="165" spans="1:21" x14ac:dyDescent="0.25">
      <c r="A165" s="16" t="s">
        <v>37</v>
      </c>
      <c r="B165" s="16" t="s">
        <v>269</v>
      </c>
      <c r="C165" s="16" t="s">
        <v>270</v>
      </c>
      <c r="D165" s="16" t="s">
        <v>100</v>
      </c>
      <c r="E165" s="16" t="s">
        <v>101</v>
      </c>
      <c r="F165" s="16" t="s">
        <v>144</v>
      </c>
      <c r="G165" s="16" t="s">
        <v>145</v>
      </c>
      <c r="H165" s="16" t="s">
        <v>85</v>
      </c>
      <c r="I165" s="16" t="s">
        <v>40</v>
      </c>
      <c r="J165" s="16" t="s">
        <v>64</v>
      </c>
      <c r="K165" s="16" t="s">
        <v>65</v>
      </c>
      <c r="L165" s="15">
        <v>-29718.161269990629</v>
      </c>
      <c r="M165" s="15">
        <v>0</v>
      </c>
      <c r="N165" s="15">
        <v>-24718.159960831636</v>
      </c>
      <c r="O165" s="15">
        <v>-5000.0013091589972</v>
      </c>
      <c r="P165" s="15">
        <v>-5000.0013091589972</v>
      </c>
      <c r="Q165" s="15">
        <f t="shared" si="6"/>
        <v>-5000.0013091589972</v>
      </c>
      <c r="R165" s="15">
        <v>0</v>
      </c>
      <c r="S165" s="15">
        <f t="shared" si="7"/>
        <v>-5000.0013091589972</v>
      </c>
      <c r="T165" s="16"/>
      <c r="U165" s="16"/>
    </row>
    <row r="166" spans="1:21" x14ac:dyDescent="0.25">
      <c r="A166" s="16" t="s">
        <v>37</v>
      </c>
      <c r="B166" s="16" t="s">
        <v>269</v>
      </c>
      <c r="C166" s="16" t="s">
        <v>270</v>
      </c>
      <c r="D166" s="16" t="s">
        <v>100</v>
      </c>
      <c r="E166" s="16" t="s">
        <v>101</v>
      </c>
      <c r="F166" s="16" t="s">
        <v>144</v>
      </c>
      <c r="G166" s="16" t="s">
        <v>145</v>
      </c>
      <c r="H166" s="16" t="s">
        <v>85</v>
      </c>
      <c r="I166" s="16" t="s">
        <v>40</v>
      </c>
      <c r="J166" s="16" t="s">
        <v>66</v>
      </c>
      <c r="K166" s="16" t="s">
        <v>63</v>
      </c>
      <c r="L166" s="15">
        <v>-11716.70371377897</v>
      </c>
      <c r="M166" s="15">
        <v>-11716.70371377897</v>
      </c>
      <c r="N166" s="15">
        <v>-11716.719990065279</v>
      </c>
      <c r="O166" s="15">
        <v>1.6276286308993804E-2</v>
      </c>
      <c r="P166" s="15">
        <v>0</v>
      </c>
      <c r="Q166" s="15">
        <f t="shared" si="6"/>
        <v>0</v>
      </c>
      <c r="R166" s="15">
        <v>0</v>
      </c>
      <c r="S166" s="15">
        <f t="shared" si="7"/>
        <v>0</v>
      </c>
      <c r="T166" s="16"/>
      <c r="U166" s="16"/>
    </row>
    <row r="167" spans="1:21" hidden="1" x14ac:dyDescent="0.25">
      <c r="A167" s="16" t="s">
        <v>37</v>
      </c>
      <c r="B167" s="16" t="s">
        <v>257</v>
      </c>
      <c r="C167" s="16" t="s">
        <v>258</v>
      </c>
      <c r="D167" s="16" t="s">
        <v>100</v>
      </c>
      <c r="E167" s="16" t="s">
        <v>101</v>
      </c>
      <c r="F167" s="16" t="s">
        <v>144</v>
      </c>
      <c r="G167" s="16" t="s">
        <v>145</v>
      </c>
      <c r="H167" s="16" t="s">
        <v>85</v>
      </c>
      <c r="I167" s="16" t="s">
        <v>40</v>
      </c>
      <c r="J167" s="16" t="s">
        <v>67</v>
      </c>
      <c r="K167" s="16" t="s">
        <v>68</v>
      </c>
      <c r="L167" s="15">
        <v>-1225</v>
      </c>
      <c r="M167" s="15">
        <v>0</v>
      </c>
      <c r="N167" s="15">
        <v>0</v>
      </c>
      <c r="O167" s="15">
        <v>-1225</v>
      </c>
      <c r="P167" s="15">
        <v>-1225</v>
      </c>
      <c r="Q167" s="15">
        <f t="shared" si="6"/>
        <v>-1225</v>
      </c>
      <c r="R167" s="15">
        <v>0</v>
      </c>
      <c r="S167" s="15">
        <f t="shared" si="7"/>
        <v>-1225</v>
      </c>
      <c r="T167" s="16"/>
      <c r="U167" s="26"/>
    </row>
    <row r="168" spans="1:21" x14ac:dyDescent="0.25">
      <c r="A168" s="16" t="s">
        <v>37</v>
      </c>
      <c r="B168" s="16" t="s">
        <v>269</v>
      </c>
      <c r="C168" s="16" t="s">
        <v>270</v>
      </c>
      <c r="D168" s="16" t="s">
        <v>100</v>
      </c>
      <c r="E168" s="16" t="s">
        <v>101</v>
      </c>
      <c r="F168" s="16" t="s">
        <v>144</v>
      </c>
      <c r="G168" s="16" t="s">
        <v>145</v>
      </c>
      <c r="H168" s="16" t="s">
        <v>85</v>
      </c>
      <c r="I168" s="16" t="s">
        <v>40</v>
      </c>
      <c r="J168" s="16" t="s">
        <v>69</v>
      </c>
      <c r="K168" s="16" t="s">
        <v>70</v>
      </c>
      <c r="L168" s="15">
        <v>-2544.540558386092</v>
      </c>
      <c r="M168" s="15">
        <v>-2544.540558386092</v>
      </c>
      <c r="N168" s="15">
        <v>-2544.5299954848142</v>
      </c>
      <c r="O168" s="15">
        <v>-1.0562901278035497E-2</v>
      </c>
      <c r="P168" s="15">
        <v>0</v>
      </c>
      <c r="Q168" s="15">
        <f t="shared" si="6"/>
        <v>0</v>
      </c>
      <c r="R168" s="15">
        <v>0</v>
      </c>
      <c r="S168" s="15">
        <f t="shared" si="7"/>
        <v>0</v>
      </c>
      <c r="T168" s="16"/>
      <c r="U168" s="15">
        <f t="shared" ref="U168:U169" si="9">O168</f>
        <v>-1.0562901278035497E-2</v>
      </c>
    </row>
    <row r="169" spans="1:21" hidden="1" x14ac:dyDescent="0.25">
      <c r="A169" s="16" t="s">
        <v>37</v>
      </c>
      <c r="B169" s="16" t="s">
        <v>257</v>
      </c>
      <c r="C169" s="16" t="s">
        <v>258</v>
      </c>
      <c r="D169" s="16" t="s">
        <v>100</v>
      </c>
      <c r="E169" s="16" t="s">
        <v>101</v>
      </c>
      <c r="F169" s="16" t="s">
        <v>144</v>
      </c>
      <c r="G169" s="16" t="s">
        <v>145</v>
      </c>
      <c r="H169" s="16" t="s">
        <v>85</v>
      </c>
      <c r="I169" s="16" t="s">
        <v>40</v>
      </c>
      <c r="J169" s="16" t="s">
        <v>69</v>
      </c>
      <c r="K169" s="16" t="s">
        <v>70</v>
      </c>
      <c r="L169" s="15">
        <v>-818.33078699999999</v>
      </c>
      <c r="M169" s="15">
        <v>-818.33078699999999</v>
      </c>
      <c r="N169" s="15">
        <v>-807.97404339000002</v>
      </c>
      <c r="O169" s="15">
        <v>-10.356743609999967</v>
      </c>
      <c r="P169" s="15">
        <v>0</v>
      </c>
      <c r="Q169" s="15">
        <f t="shared" si="6"/>
        <v>0</v>
      </c>
      <c r="R169" s="15">
        <v>0</v>
      </c>
      <c r="S169" s="15">
        <f t="shared" si="7"/>
        <v>0</v>
      </c>
      <c r="T169" s="16"/>
      <c r="U169" s="15">
        <f t="shared" si="9"/>
        <v>-10.356743609999967</v>
      </c>
    </row>
    <row r="170" spans="1:21" hidden="1" x14ac:dyDescent="0.25">
      <c r="A170" s="16" t="s">
        <v>37</v>
      </c>
      <c r="B170" s="16" t="s">
        <v>257</v>
      </c>
      <c r="C170" s="16" t="s">
        <v>258</v>
      </c>
      <c r="D170" s="16" t="s">
        <v>100</v>
      </c>
      <c r="E170" s="16" t="s">
        <v>101</v>
      </c>
      <c r="F170" s="16" t="s">
        <v>144</v>
      </c>
      <c r="G170" s="16" t="s">
        <v>145</v>
      </c>
      <c r="H170" s="16" t="s">
        <v>85</v>
      </c>
      <c r="I170" s="16" t="s">
        <v>40</v>
      </c>
      <c r="J170" s="16" t="s">
        <v>136</v>
      </c>
      <c r="K170" s="16" t="s">
        <v>137</v>
      </c>
      <c r="L170" s="15">
        <v>-17277.000000000011</v>
      </c>
      <c r="M170" s="15">
        <v>0</v>
      </c>
      <c r="N170" s="15">
        <v>-17277</v>
      </c>
      <c r="O170" s="15">
        <v>-1.0913936421275139E-11</v>
      </c>
      <c r="P170" s="15">
        <v>-1.0913936421275139E-11</v>
      </c>
      <c r="Q170" s="15">
        <f t="shared" si="6"/>
        <v>-1.0913936421275139E-11</v>
      </c>
      <c r="R170" s="15">
        <v>0</v>
      </c>
      <c r="S170" s="15">
        <f t="shared" si="7"/>
        <v>-1.0913936421275139E-11</v>
      </c>
      <c r="T170" s="16"/>
      <c r="U170" s="26"/>
    </row>
    <row r="171" spans="1:21" hidden="1" x14ac:dyDescent="0.25">
      <c r="A171" s="16" t="s">
        <v>37</v>
      </c>
      <c r="B171" s="16" t="s">
        <v>265</v>
      </c>
      <c r="C171" s="16" t="s">
        <v>266</v>
      </c>
      <c r="D171" s="16" t="s">
        <v>100</v>
      </c>
      <c r="E171" s="16" t="s">
        <v>101</v>
      </c>
      <c r="F171" s="16" t="s">
        <v>144</v>
      </c>
      <c r="G171" s="16" t="s">
        <v>145</v>
      </c>
      <c r="H171" s="16" t="s">
        <v>85</v>
      </c>
      <c r="I171" s="16" t="s">
        <v>40</v>
      </c>
      <c r="J171" s="16" t="s">
        <v>138</v>
      </c>
      <c r="K171" s="16" t="s">
        <v>139</v>
      </c>
      <c r="L171" s="15">
        <v>-743.93665991530111</v>
      </c>
      <c r="M171" s="15">
        <v>0</v>
      </c>
      <c r="N171" s="15">
        <v>-743.93665991530099</v>
      </c>
      <c r="O171" s="15">
        <v>-5.6843418860808015E-14</v>
      </c>
      <c r="P171" s="15">
        <v>0</v>
      </c>
      <c r="Q171" s="15">
        <f t="shared" si="6"/>
        <v>0</v>
      </c>
      <c r="R171" s="15">
        <v>0</v>
      </c>
      <c r="S171" s="15">
        <f t="shared" si="7"/>
        <v>0</v>
      </c>
      <c r="T171" s="16"/>
      <c r="U171" s="16"/>
    </row>
    <row r="172" spans="1:21" x14ac:dyDescent="0.25">
      <c r="A172" s="16" t="s">
        <v>37</v>
      </c>
      <c r="B172" s="16" t="s">
        <v>269</v>
      </c>
      <c r="C172" s="16" t="s">
        <v>270</v>
      </c>
      <c r="D172" s="16" t="s">
        <v>100</v>
      </c>
      <c r="E172" s="16" t="s">
        <v>101</v>
      </c>
      <c r="F172" s="16" t="s">
        <v>146</v>
      </c>
      <c r="G172" s="16" t="s">
        <v>147</v>
      </c>
      <c r="H172" s="16" t="s">
        <v>85</v>
      </c>
      <c r="I172" s="16" t="s">
        <v>40</v>
      </c>
      <c r="J172" s="16" t="s">
        <v>38</v>
      </c>
      <c r="K172" s="16" t="s">
        <v>293</v>
      </c>
      <c r="L172" s="15">
        <v>-49801.77144710657</v>
      </c>
      <c r="M172" s="15">
        <v>-637.28071196958888</v>
      </c>
      <c r="N172" s="15">
        <v>-69945.470516241563</v>
      </c>
      <c r="O172" s="15">
        <v>20143.699069134989</v>
      </c>
      <c r="P172" s="15">
        <f>O172</f>
        <v>20143.699069134989</v>
      </c>
      <c r="Q172" s="15">
        <f>P172-R172-20144</f>
        <v>-0.3009308650107414</v>
      </c>
      <c r="R172" s="15">
        <v>0</v>
      </c>
      <c r="S172" s="15">
        <f t="shared" si="7"/>
        <v>-0.3009308650107414</v>
      </c>
      <c r="T172" s="16"/>
      <c r="U172" s="16"/>
    </row>
    <row r="173" spans="1:21" hidden="1" x14ac:dyDescent="0.25">
      <c r="A173" s="16" t="s">
        <v>37</v>
      </c>
      <c r="B173" s="16" t="s">
        <v>265</v>
      </c>
      <c r="C173" s="16" t="s">
        <v>266</v>
      </c>
      <c r="D173" s="16" t="s">
        <v>100</v>
      </c>
      <c r="E173" s="16" t="s">
        <v>101</v>
      </c>
      <c r="F173" s="16" t="s">
        <v>146</v>
      </c>
      <c r="G173" s="16" t="s">
        <v>147</v>
      </c>
      <c r="H173" s="16" t="s">
        <v>85</v>
      </c>
      <c r="I173" s="16" t="s">
        <v>40</v>
      </c>
      <c r="J173" s="16" t="s">
        <v>38</v>
      </c>
      <c r="K173" s="16" t="s">
        <v>293</v>
      </c>
      <c r="L173" s="15">
        <v>-267269.82501438679</v>
      </c>
      <c r="M173" s="15">
        <v>-8.8300001829691031</v>
      </c>
      <c r="N173" s="15">
        <v>-252339.51465249859</v>
      </c>
      <c r="O173" s="15">
        <v>-14930.310361888147</v>
      </c>
      <c r="P173" s="15">
        <v>-14930.310361888147</v>
      </c>
      <c r="Q173" s="15">
        <f t="shared" si="6"/>
        <v>-14930.310361888147</v>
      </c>
      <c r="R173" s="15">
        <v>0</v>
      </c>
      <c r="S173" s="15">
        <f t="shared" si="7"/>
        <v>-14930.310361888147</v>
      </c>
      <c r="T173" s="16"/>
      <c r="U173" s="16"/>
    </row>
    <row r="174" spans="1:21" hidden="1" x14ac:dyDescent="0.25">
      <c r="A174" s="16" t="s">
        <v>37</v>
      </c>
      <c r="B174" s="16" t="s">
        <v>261</v>
      </c>
      <c r="C174" s="16" t="s">
        <v>262</v>
      </c>
      <c r="D174" s="16" t="s">
        <v>100</v>
      </c>
      <c r="E174" s="16" t="s">
        <v>101</v>
      </c>
      <c r="F174" s="16" t="s">
        <v>146</v>
      </c>
      <c r="G174" s="16" t="s">
        <v>147</v>
      </c>
      <c r="H174" s="16" t="s">
        <v>85</v>
      </c>
      <c r="I174" s="16" t="s">
        <v>40</v>
      </c>
      <c r="J174" s="16" t="s">
        <v>38</v>
      </c>
      <c r="K174" s="16" t="s">
        <v>293</v>
      </c>
      <c r="L174" s="15">
        <v>-92117.281957858228</v>
      </c>
      <c r="M174" s="15">
        <v>-16.21</v>
      </c>
      <c r="N174" s="15">
        <v>-87730.188102519052</v>
      </c>
      <c r="O174" s="15">
        <v>-4387.0938553391716</v>
      </c>
      <c r="P174" s="15">
        <v>-4387.0938553391716</v>
      </c>
      <c r="Q174" s="15">
        <f t="shared" si="6"/>
        <v>-4387.0938553391716</v>
      </c>
      <c r="R174" s="15">
        <v>0</v>
      </c>
      <c r="S174" s="15">
        <f t="shared" si="7"/>
        <v>-4387.0938553391716</v>
      </c>
      <c r="T174" s="16"/>
      <c r="U174" s="16"/>
    </row>
    <row r="175" spans="1:21" hidden="1" x14ac:dyDescent="0.25">
      <c r="A175" s="16" t="s">
        <v>37</v>
      </c>
      <c r="B175" s="16" t="s">
        <v>257</v>
      </c>
      <c r="C175" s="16" t="s">
        <v>258</v>
      </c>
      <c r="D175" s="16" t="s">
        <v>100</v>
      </c>
      <c r="E175" s="16" t="s">
        <v>101</v>
      </c>
      <c r="F175" s="16" t="s">
        <v>146</v>
      </c>
      <c r="G175" s="16" t="s">
        <v>147</v>
      </c>
      <c r="H175" s="16" t="s">
        <v>85</v>
      </c>
      <c r="I175" s="16" t="s">
        <v>40</v>
      </c>
      <c r="J175" s="16" t="s">
        <v>38</v>
      </c>
      <c r="K175" s="16" t="s">
        <v>293</v>
      </c>
      <c r="L175" s="15">
        <v>-1162319.6230223663</v>
      </c>
      <c r="M175" s="15">
        <v>-930113.87222583685</v>
      </c>
      <c r="N175" s="15">
        <v>-1145149.5481070583</v>
      </c>
      <c r="O175" s="15">
        <v>-17170.074915307923</v>
      </c>
      <c r="P175" s="15">
        <v>-17170.074915307923</v>
      </c>
      <c r="Q175" s="15">
        <f>P175-R175+P172</f>
        <v>2973.624153827066</v>
      </c>
      <c r="R175" s="15">
        <v>0</v>
      </c>
      <c r="S175" s="15">
        <f t="shared" si="7"/>
        <v>2973.624153827066</v>
      </c>
      <c r="T175" s="16"/>
      <c r="U175" s="26"/>
    </row>
    <row r="176" spans="1:21" hidden="1" x14ac:dyDescent="0.25">
      <c r="A176" s="16" t="s">
        <v>37</v>
      </c>
      <c r="B176" s="16" t="s">
        <v>257</v>
      </c>
      <c r="C176" s="16" t="s">
        <v>258</v>
      </c>
      <c r="D176" s="16" t="s">
        <v>100</v>
      </c>
      <c r="E176" s="16" t="s">
        <v>101</v>
      </c>
      <c r="F176" s="16" t="s">
        <v>146</v>
      </c>
      <c r="G176" s="16" t="s">
        <v>147</v>
      </c>
      <c r="H176" s="16" t="s">
        <v>85</v>
      </c>
      <c r="I176" s="16" t="s">
        <v>40</v>
      </c>
      <c r="J176" s="16" t="s">
        <v>300</v>
      </c>
      <c r="K176" s="16" t="s">
        <v>301</v>
      </c>
      <c r="L176" s="15">
        <v>-3220.3389830508472</v>
      </c>
      <c r="M176" s="15">
        <v>0</v>
      </c>
      <c r="N176" s="15">
        <v>0</v>
      </c>
      <c r="O176" s="15">
        <v>-3220.3389830508472</v>
      </c>
      <c r="P176" s="15">
        <v>-3220.3389830508472</v>
      </c>
      <c r="Q176" s="15">
        <v>0</v>
      </c>
      <c r="R176" s="15">
        <v>0</v>
      </c>
      <c r="S176" s="15">
        <f t="shared" si="7"/>
        <v>0</v>
      </c>
      <c r="T176" s="16"/>
      <c r="U176" s="26"/>
    </row>
    <row r="177" spans="1:21" hidden="1" x14ac:dyDescent="0.25">
      <c r="A177" s="16" t="s">
        <v>37</v>
      </c>
      <c r="B177" s="16" t="s">
        <v>257</v>
      </c>
      <c r="C177" s="16" t="s">
        <v>258</v>
      </c>
      <c r="D177" s="16" t="s">
        <v>100</v>
      </c>
      <c r="E177" s="16" t="s">
        <v>101</v>
      </c>
      <c r="F177" s="16" t="s">
        <v>146</v>
      </c>
      <c r="G177" s="16" t="s">
        <v>147</v>
      </c>
      <c r="H177" s="16" t="s">
        <v>85</v>
      </c>
      <c r="I177" s="16" t="s">
        <v>40</v>
      </c>
      <c r="J177" s="16" t="s">
        <v>285</v>
      </c>
      <c r="K177" s="16" t="s">
        <v>286</v>
      </c>
      <c r="L177" s="15">
        <v>-352108.23981900001</v>
      </c>
      <c r="M177" s="15">
        <v>-275574.39895599999</v>
      </c>
      <c r="N177" s="15">
        <v>-134197.99339400002</v>
      </c>
      <c r="O177" s="15">
        <v>-217910.24642500002</v>
      </c>
      <c r="P177" s="15">
        <f>O177</f>
        <v>-217910.24642500002</v>
      </c>
      <c r="Q177" s="15">
        <f t="shared" si="6"/>
        <v>60979.929408999975</v>
      </c>
      <c r="R177" s="15">
        <v>-278890.17583399999</v>
      </c>
      <c r="S177" s="15">
        <f t="shared" si="7"/>
        <v>-217910.24642500002</v>
      </c>
      <c r="T177" s="16"/>
      <c r="U177" s="26"/>
    </row>
    <row r="178" spans="1:21" hidden="1" x14ac:dyDescent="0.25">
      <c r="A178" s="16" t="s">
        <v>37</v>
      </c>
      <c r="B178" s="16" t="s">
        <v>257</v>
      </c>
      <c r="C178" s="16" t="s">
        <v>258</v>
      </c>
      <c r="D178" s="16" t="s">
        <v>100</v>
      </c>
      <c r="E178" s="16" t="s">
        <v>101</v>
      </c>
      <c r="F178" s="16" t="s">
        <v>146</v>
      </c>
      <c r="G178" s="16" t="s">
        <v>147</v>
      </c>
      <c r="H178" s="16" t="s">
        <v>85</v>
      </c>
      <c r="I178" s="16" t="s">
        <v>40</v>
      </c>
      <c r="J178" s="16" t="s">
        <v>142</v>
      </c>
      <c r="K178" s="16" t="s">
        <v>143</v>
      </c>
      <c r="L178" s="15">
        <v>-4258.0300000000007</v>
      </c>
      <c r="M178" s="15">
        <v>0</v>
      </c>
      <c r="N178" s="15">
        <v>0</v>
      </c>
      <c r="O178" s="15">
        <v>-4258.0300000000007</v>
      </c>
      <c r="P178" s="15">
        <v>-4258.0300000000007</v>
      </c>
      <c r="Q178" s="15">
        <f t="shared" si="6"/>
        <v>-4258.0300000000007</v>
      </c>
      <c r="R178" s="15">
        <v>0</v>
      </c>
      <c r="S178" s="15">
        <f t="shared" si="7"/>
        <v>-4258.0300000000007</v>
      </c>
      <c r="T178" s="16"/>
      <c r="U178" s="26"/>
    </row>
    <row r="179" spans="1:21" x14ac:dyDescent="0.25">
      <c r="A179" s="16" t="s">
        <v>37</v>
      </c>
      <c r="B179" s="16" t="s">
        <v>269</v>
      </c>
      <c r="C179" s="16" t="s">
        <v>270</v>
      </c>
      <c r="D179" s="16" t="s">
        <v>100</v>
      </c>
      <c r="E179" s="16" t="s">
        <v>101</v>
      </c>
      <c r="F179" s="16" t="s">
        <v>146</v>
      </c>
      <c r="G179" s="16" t="s">
        <v>147</v>
      </c>
      <c r="H179" s="16" t="s">
        <v>85</v>
      </c>
      <c r="I179" s="16" t="s">
        <v>40</v>
      </c>
      <c r="J179" s="16" t="s">
        <v>130</v>
      </c>
      <c r="K179" s="16" t="s">
        <v>131</v>
      </c>
      <c r="L179" s="15">
        <v>-2230.9300000077028</v>
      </c>
      <c r="M179" s="15">
        <v>-2230.9300000077028</v>
      </c>
      <c r="N179" s="15">
        <v>0</v>
      </c>
      <c r="O179" s="15">
        <v>-2230.9300000077028</v>
      </c>
      <c r="P179" s="15">
        <v>-2230.9300000077028</v>
      </c>
      <c r="Q179" s="15">
        <f t="shared" si="6"/>
        <v>-2230.9300000077028</v>
      </c>
      <c r="R179" s="15">
        <v>0</v>
      </c>
      <c r="S179" s="15">
        <f t="shared" si="7"/>
        <v>-2230.9300000077028</v>
      </c>
      <c r="T179" s="16"/>
      <c r="U179" s="16"/>
    </row>
    <row r="180" spans="1:21" hidden="1" x14ac:dyDescent="0.25">
      <c r="A180" s="16" t="s">
        <v>37</v>
      </c>
      <c r="B180" s="16" t="s">
        <v>257</v>
      </c>
      <c r="C180" s="16" t="s">
        <v>258</v>
      </c>
      <c r="D180" s="16" t="s">
        <v>100</v>
      </c>
      <c r="E180" s="16" t="s">
        <v>101</v>
      </c>
      <c r="F180" s="16" t="s">
        <v>146</v>
      </c>
      <c r="G180" s="16" t="s">
        <v>147</v>
      </c>
      <c r="H180" s="16" t="s">
        <v>85</v>
      </c>
      <c r="I180" s="16" t="s">
        <v>40</v>
      </c>
      <c r="J180" s="16" t="s">
        <v>296</v>
      </c>
      <c r="K180" s="16" t="s">
        <v>297</v>
      </c>
      <c r="L180" s="15">
        <v>-6778.4949694265997</v>
      </c>
      <c r="M180" s="15">
        <v>-4065.6389214000001</v>
      </c>
      <c r="N180" s="15">
        <v>-6720.3059720000001</v>
      </c>
      <c r="O180" s="15">
        <v>-58.18899742659778</v>
      </c>
      <c r="P180" s="15">
        <v>-58.18899742659778</v>
      </c>
      <c r="Q180" s="15">
        <f t="shared" si="6"/>
        <v>-58.18899742659778</v>
      </c>
      <c r="R180" s="15">
        <v>0</v>
      </c>
      <c r="S180" s="15">
        <f t="shared" si="7"/>
        <v>-58.18899742659778</v>
      </c>
      <c r="T180" s="16"/>
      <c r="U180" s="26"/>
    </row>
    <row r="181" spans="1:21" hidden="1" x14ac:dyDescent="0.25">
      <c r="A181" s="16" t="s">
        <v>37</v>
      </c>
      <c r="B181" s="16" t="s">
        <v>265</v>
      </c>
      <c r="C181" s="16" t="s">
        <v>266</v>
      </c>
      <c r="D181" s="16" t="s">
        <v>100</v>
      </c>
      <c r="E181" s="16" t="s">
        <v>101</v>
      </c>
      <c r="F181" s="16" t="s">
        <v>146</v>
      </c>
      <c r="G181" s="16" t="s">
        <v>147</v>
      </c>
      <c r="H181" s="16" t="s">
        <v>85</v>
      </c>
      <c r="I181" s="16" t="s">
        <v>40</v>
      </c>
      <c r="J181" s="16" t="s">
        <v>124</v>
      </c>
      <c r="K181" s="16" t="s">
        <v>125</v>
      </c>
      <c r="L181" s="15">
        <v>-25708.388869084607</v>
      </c>
      <c r="M181" s="15">
        <v>0</v>
      </c>
      <c r="N181" s="15">
        <v>-20556.977441243391</v>
      </c>
      <c r="O181" s="15">
        <v>-5151.4114278412198</v>
      </c>
      <c r="P181" s="15">
        <v>0</v>
      </c>
      <c r="Q181" s="15">
        <f t="shared" si="6"/>
        <v>0</v>
      </c>
      <c r="R181" s="15">
        <v>0</v>
      </c>
      <c r="S181" s="15">
        <f t="shared" si="7"/>
        <v>0</v>
      </c>
      <c r="T181" s="16"/>
      <c r="U181" s="16"/>
    </row>
    <row r="182" spans="1:21" x14ac:dyDescent="0.25">
      <c r="A182" s="16" t="s">
        <v>37</v>
      </c>
      <c r="B182" s="16" t="s">
        <v>269</v>
      </c>
      <c r="C182" s="16" t="s">
        <v>270</v>
      </c>
      <c r="D182" s="16" t="s">
        <v>100</v>
      </c>
      <c r="E182" s="16" t="s">
        <v>101</v>
      </c>
      <c r="F182" s="16" t="s">
        <v>146</v>
      </c>
      <c r="G182" s="16" t="s">
        <v>147</v>
      </c>
      <c r="H182" s="16" t="s">
        <v>85</v>
      </c>
      <c r="I182" s="16" t="s">
        <v>40</v>
      </c>
      <c r="J182" s="16" t="s">
        <v>124</v>
      </c>
      <c r="K182" s="16" t="s">
        <v>125</v>
      </c>
      <c r="L182" s="15">
        <v>-241.80808927894361</v>
      </c>
      <c r="M182" s="15">
        <v>0</v>
      </c>
      <c r="N182" s="15">
        <v>-179.08999999999986</v>
      </c>
      <c r="O182" s="15">
        <v>-62.718089278943737</v>
      </c>
      <c r="P182" s="15">
        <v>0</v>
      </c>
      <c r="Q182" s="15">
        <f t="shared" si="6"/>
        <v>0</v>
      </c>
      <c r="R182" s="15">
        <v>0</v>
      </c>
      <c r="S182" s="15">
        <f t="shared" si="7"/>
        <v>0</v>
      </c>
      <c r="T182" s="16"/>
      <c r="U182" s="16"/>
    </row>
    <row r="183" spans="1:21" hidden="1" x14ac:dyDescent="0.25">
      <c r="A183" s="16" t="s">
        <v>37</v>
      </c>
      <c r="B183" s="16" t="s">
        <v>261</v>
      </c>
      <c r="C183" s="16" t="s">
        <v>262</v>
      </c>
      <c r="D183" s="16" t="s">
        <v>100</v>
      </c>
      <c r="E183" s="16" t="s">
        <v>101</v>
      </c>
      <c r="F183" s="16" t="s">
        <v>146</v>
      </c>
      <c r="G183" s="16" t="s">
        <v>147</v>
      </c>
      <c r="H183" s="16" t="s">
        <v>85</v>
      </c>
      <c r="I183" s="16" t="s">
        <v>40</v>
      </c>
      <c r="J183" s="16" t="s">
        <v>124</v>
      </c>
      <c r="K183" s="16" t="s">
        <v>125</v>
      </c>
      <c r="L183" s="15">
        <v>-5783.9631529900016</v>
      </c>
      <c r="M183" s="15">
        <v>0</v>
      </c>
      <c r="N183" s="15">
        <v>-5778.7035166568003</v>
      </c>
      <c r="O183" s="15">
        <v>-5.2596363332010583</v>
      </c>
      <c r="P183" s="15">
        <v>0</v>
      </c>
      <c r="Q183" s="15">
        <f t="shared" si="6"/>
        <v>0</v>
      </c>
      <c r="R183" s="15">
        <v>0</v>
      </c>
      <c r="S183" s="15">
        <f t="shared" si="7"/>
        <v>0</v>
      </c>
      <c r="T183" s="16"/>
      <c r="U183" s="16"/>
    </row>
    <row r="184" spans="1:21" hidden="1" x14ac:dyDescent="0.25">
      <c r="A184" s="16" t="s">
        <v>37</v>
      </c>
      <c r="B184" s="16" t="s">
        <v>257</v>
      </c>
      <c r="C184" s="16" t="s">
        <v>258</v>
      </c>
      <c r="D184" s="16" t="s">
        <v>100</v>
      </c>
      <c r="E184" s="16" t="s">
        <v>101</v>
      </c>
      <c r="F184" s="16" t="s">
        <v>146</v>
      </c>
      <c r="G184" s="16" t="s">
        <v>147</v>
      </c>
      <c r="H184" s="16" t="s">
        <v>85</v>
      </c>
      <c r="I184" s="16" t="s">
        <v>40</v>
      </c>
      <c r="J184" s="16" t="s">
        <v>124</v>
      </c>
      <c r="K184" s="16" t="s">
        <v>125</v>
      </c>
      <c r="L184" s="15">
        <v>-49.851300000000002</v>
      </c>
      <c r="M184" s="15">
        <v>0</v>
      </c>
      <c r="N184" s="15">
        <v>-37.775855999999997</v>
      </c>
      <c r="O184" s="15">
        <v>-12.075444000000005</v>
      </c>
      <c r="P184" s="15">
        <v>0</v>
      </c>
      <c r="Q184" s="15">
        <f t="shared" si="6"/>
        <v>0</v>
      </c>
      <c r="R184" s="15">
        <v>0</v>
      </c>
      <c r="S184" s="15">
        <f t="shared" si="7"/>
        <v>0</v>
      </c>
      <c r="T184" s="16"/>
      <c r="U184" s="26"/>
    </row>
    <row r="185" spans="1:21" hidden="1" x14ac:dyDescent="0.25">
      <c r="A185" s="16" t="s">
        <v>37</v>
      </c>
      <c r="B185" s="16" t="s">
        <v>257</v>
      </c>
      <c r="C185" s="16" t="s">
        <v>258</v>
      </c>
      <c r="D185" s="16" t="s">
        <v>100</v>
      </c>
      <c r="E185" s="16" t="s">
        <v>101</v>
      </c>
      <c r="F185" s="16" t="s">
        <v>146</v>
      </c>
      <c r="G185" s="16" t="s">
        <v>147</v>
      </c>
      <c r="H185" s="16" t="s">
        <v>85</v>
      </c>
      <c r="I185" s="16" t="s">
        <v>40</v>
      </c>
      <c r="J185" s="16" t="s">
        <v>298</v>
      </c>
      <c r="K185" s="16" t="s">
        <v>299</v>
      </c>
      <c r="L185" s="15">
        <v>-21892.149442080001</v>
      </c>
      <c r="M185" s="15">
        <v>-196.76426400000011</v>
      </c>
      <c r="N185" s="15">
        <v>-20126.547093721201</v>
      </c>
      <c r="O185" s="15">
        <v>-1765.6023483587987</v>
      </c>
      <c r="P185" s="15">
        <v>-1765.6023483587987</v>
      </c>
      <c r="Q185" s="15">
        <f t="shared" si="6"/>
        <v>-1765.6023483587987</v>
      </c>
      <c r="R185" s="15">
        <v>0</v>
      </c>
      <c r="S185" s="15">
        <f t="shared" si="7"/>
        <v>-1765.6023483587987</v>
      </c>
      <c r="T185" s="16"/>
      <c r="U185" s="26"/>
    </row>
    <row r="186" spans="1:21" x14ac:dyDescent="0.25">
      <c r="A186" s="16" t="s">
        <v>37</v>
      </c>
      <c r="B186" s="16" t="s">
        <v>269</v>
      </c>
      <c r="C186" s="16" t="s">
        <v>270</v>
      </c>
      <c r="D186" s="16" t="s">
        <v>100</v>
      </c>
      <c r="E186" s="16" t="s">
        <v>101</v>
      </c>
      <c r="F186" s="16" t="s">
        <v>146</v>
      </c>
      <c r="G186" s="16" t="s">
        <v>147</v>
      </c>
      <c r="H186" s="16" t="s">
        <v>85</v>
      </c>
      <c r="I186" s="16" t="s">
        <v>40</v>
      </c>
      <c r="J186" s="16" t="s">
        <v>132</v>
      </c>
      <c r="K186" s="16" t="s">
        <v>133</v>
      </c>
      <c r="L186" s="15">
        <v>-6342.182040569498</v>
      </c>
      <c r="M186" s="15">
        <v>-6342.182040569498</v>
      </c>
      <c r="N186" s="15">
        <v>-6342.1799988433522</v>
      </c>
      <c r="O186" s="15">
        <v>-2.0417261459897418E-3</v>
      </c>
      <c r="P186" s="15">
        <v>0</v>
      </c>
      <c r="Q186" s="15">
        <f t="shared" si="6"/>
        <v>0</v>
      </c>
      <c r="R186" s="15">
        <v>0</v>
      </c>
      <c r="S186" s="15">
        <f t="shared" si="7"/>
        <v>0</v>
      </c>
      <c r="T186" s="16"/>
      <c r="U186" s="16"/>
    </row>
    <row r="187" spans="1:21" hidden="1" x14ac:dyDescent="0.25">
      <c r="A187" s="16" t="s">
        <v>37</v>
      </c>
      <c r="B187" s="16" t="s">
        <v>257</v>
      </c>
      <c r="C187" s="16" t="s">
        <v>258</v>
      </c>
      <c r="D187" s="16" t="s">
        <v>100</v>
      </c>
      <c r="E187" s="16" t="s">
        <v>101</v>
      </c>
      <c r="F187" s="16" t="s">
        <v>146</v>
      </c>
      <c r="G187" s="16" t="s">
        <v>147</v>
      </c>
      <c r="H187" s="16" t="s">
        <v>85</v>
      </c>
      <c r="I187" s="16" t="s">
        <v>40</v>
      </c>
      <c r="J187" s="16" t="s">
        <v>302</v>
      </c>
      <c r="K187" s="16" t="s">
        <v>303</v>
      </c>
      <c r="L187" s="15">
        <v>-6779.6610084745753</v>
      </c>
      <c r="M187" s="15">
        <v>0</v>
      </c>
      <c r="N187" s="15">
        <v>-6705.8293000000003</v>
      </c>
      <c r="O187" s="15">
        <v>-73.831708474575862</v>
      </c>
      <c r="P187" s="15">
        <v>-73.831708474575862</v>
      </c>
      <c r="Q187" s="15">
        <v>555</v>
      </c>
      <c r="R187" s="15">
        <v>-555.16999999999996</v>
      </c>
      <c r="S187" s="15">
        <f t="shared" si="7"/>
        <v>-0.16999999999995907</v>
      </c>
      <c r="T187" s="16"/>
      <c r="U187" s="26"/>
    </row>
    <row r="188" spans="1:21" x14ac:dyDescent="0.25">
      <c r="A188" s="16" t="s">
        <v>37</v>
      </c>
      <c r="B188" s="16" t="s">
        <v>269</v>
      </c>
      <c r="C188" s="16" t="s">
        <v>270</v>
      </c>
      <c r="D188" s="16" t="s">
        <v>100</v>
      </c>
      <c r="E188" s="16" t="s">
        <v>101</v>
      </c>
      <c r="F188" s="16" t="s">
        <v>146</v>
      </c>
      <c r="G188" s="16" t="s">
        <v>147</v>
      </c>
      <c r="H188" s="16" t="s">
        <v>85</v>
      </c>
      <c r="I188" s="16" t="s">
        <v>40</v>
      </c>
      <c r="J188" s="16" t="s">
        <v>64</v>
      </c>
      <c r="K188" s="16" t="s">
        <v>65</v>
      </c>
      <c r="L188" s="15">
        <v>-14581.47458308971</v>
      </c>
      <c r="M188" s="15">
        <v>0</v>
      </c>
      <c r="N188" s="15">
        <v>-12652.309979951164</v>
      </c>
      <c r="O188" s="15">
        <v>-1929.164603138548</v>
      </c>
      <c r="P188" s="15">
        <v>-1929.164603138548</v>
      </c>
      <c r="Q188" s="15">
        <f t="shared" si="6"/>
        <v>-1929.164603138548</v>
      </c>
      <c r="R188" s="15">
        <v>0</v>
      </c>
      <c r="S188" s="15">
        <f t="shared" si="7"/>
        <v>-1929.164603138548</v>
      </c>
      <c r="T188" s="16"/>
      <c r="U188" s="16"/>
    </row>
    <row r="189" spans="1:21" x14ac:dyDescent="0.25">
      <c r="A189" s="16" t="s">
        <v>37</v>
      </c>
      <c r="B189" s="16" t="s">
        <v>269</v>
      </c>
      <c r="C189" s="16" t="s">
        <v>270</v>
      </c>
      <c r="D189" s="16" t="s">
        <v>100</v>
      </c>
      <c r="E189" s="16" t="s">
        <v>101</v>
      </c>
      <c r="F189" s="16" t="s">
        <v>146</v>
      </c>
      <c r="G189" s="16" t="s">
        <v>147</v>
      </c>
      <c r="H189" s="16" t="s">
        <v>85</v>
      </c>
      <c r="I189" s="16" t="s">
        <v>40</v>
      </c>
      <c r="J189" s="16" t="s">
        <v>66</v>
      </c>
      <c r="K189" s="16" t="s">
        <v>63</v>
      </c>
      <c r="L189" s="15">
        <v>-9259.9187166651645</v>
      </c>
      <c r="M189" s="15">
        <v>-9259.9187166651645</v>
      </c>
      <c r="N189" s="15">
        <v>-9259.9199921484233</v>
      </c>
      <c r="O189" s="15">
        <v>1.2754832588655063E-3</v>
      </c>
      <c r="P189" s="15">
        <v>0</v>
      </c>
      <c r="Q189" s="15">
        <f t="shared" si="6"/>
        <v>0</v>
      </c>
      <c r="R189" s="15">
        <v>0</v>
      </c>
      <c r="S189" s="15">
        <f t="shared" si="7"/>
        <v>0</v>
      </c>
      <c r="T189" s="16"/>
      <c r="U189" s="16"/>
    </row>
    <row r="190" spans="1:21" hidden="1" x14ac:dyDescent="0.25">
      <c r="A190" s="16" t="s">
        <v>37</v>
      </c>
      <c r="B190" s="16" t="s">
        <v>257</v>
      </c>
      <c r="C190" s="16" t="s">
        <v>258</v>
      </c>
      <c r="D190" s="16" t="s">
        <v>100</v>
      </c>
      <c r="E190" s="16" t="s">
        <v>101</v>
      </c>
      <c r="F190" s="16" t="s">
        <v>146</v>
      </c>
      <c r="G190" s="16" t="s">
        <v>147</v>
      </c>
      <c r="H190" s="16" t="s">
        <v>85</v>
      </c>
      <c r="I190" s="16" t="s">
        <v>40</v>
      </c>
      <c r="J190" s="16" t="s">
        <v>67</v>
      </c>
      <c r="K190" s="16" t="s">
        <v>68</v>
      </c>
      <c r="L190" s="15">
        <v>-2725</v>
      </c>
      <c r="M190" s="15">
        <v>0</v>
      </c>
      <c r="N190" s="15">
        <v>0</v>
      </c>
      <c r="O190" s="15">
        <v>-2725</v>
      </c>
      <c r="P190" s="15">
        <v>-2725</v>
      </c>
      <c r="Q190" s="15">
        <f t="shared" si="6"/>
        <v>-2725</v>
      </c>
      <c r="R190" s="15">
        <v>0</v>
      </c>
      <c r="S190" s="15">
        <f t="shared" si="7"/>
        <v>-2725</v>
      </c>
      <c r="T190" s="16"/>
      <c r="U190" s="26"/>
    </row>
    <row r="191" spans="1:21" x14ac:dyDescent="0.25">
      <c r="A191" s="16" t="s">
        <v>37</v>
      </c>
      <c r="B191" s="16" t="s">
        <v>269</v>
      </c>
      <c r="C191" s="16" t="s">
        <v>270</v>
      </c>
      <c r="D191" s="16" t="s">
        <v>100</v>
      </c>
      <c r="E191" s="16" t="s">
        <v>101</v>
      </c>
      <c r="F191" s="16" t="s">
        <v>146</v>
      </c>
      <c r="G191" s="16" t="s">
        <v>147</v>
      </c>
      <c r="H191" s="16" t="s">
        <v>85</v>
      </c>
      <c r="I191" s="16" t="s">
        <v>40</v>
      </c>
      <c r="J191" s="16" t="s">
        <v>69</v>
      </c>
      <c r="K191" s="16" t="s">
        <v>70</v>
      </c>
      <c r="L191" s="15">
        <v>-211.60702319648058</v>
      </c>
      <c r="M191" s="15">
        <v>-211.60702319648058</v>
      </c>
      <c r="N191" s="15">
        <v>-211.60999962450492</v>
      </c>
      <c r="O191" s="15">
        <v>2.976428024325628E-3</v>
      </c>
      <c r="P191" s="15">
        <v>0</v>
      </c>
      <c r="Q191" s="15">
        <f t="shared" si="6"/>
        <v>0</v>
      </c>
      <c r="R191" s="15">
        <v>0</v>
      </c>
      <c r="S191" s="15">
        <f t="shared" si="7"/>
        <v>0</v>
      </c>
      <c r="T191" s="16"/>
      <c r="U191" s="15">
        <f t="shared" ref="U191:U193" si="10">O191</f>
        <v>2.976428024325628E-3</v>
      </c>
    </row>
    <row r="192" spans="1:21" hidden="1" x14ac:dyDescent="0.25">
      <c r="A192" s="16" t="s">
        <v>37</v>
      </c>
      <c r="B192" s="16" t="s">
        <v>261</v>
      </c>
      <c r="C192" s="16" t="s">
        <v>262</v>
      </c>
      <c r="D192" s="16" t="s">
        <v>100</v>
      </c>
      <c r="E192" s="16" t="s">
        <v>101</v>
      </c>
      <c r="F192" s="16" t="s">
        <v>146</v>
      </c>
      <c r="G192" s="16" t="s">
        <v>147</v>
      </c>
      <c r="H192" s="16" t="s">
        <v>85</v>
      </c>
      <c r="I192" s="16" t="s">
        <v>40</v>
      </c>
      <c r="J192" s="16" t="s">
        <v>69</v>
      </c>
      <c r="K192" s="16" t="s">
        <v>70</v>
      </c>
      <c r="L192" s="15">
        <v>-472.38999989899992</v>
      </c>
      <c r="M192" s="15">
        <v>-472.38999999999987</v>
      </c>
      <c r="N192" s="15">
        <v>-509.80390000000011</v>
      </c>
      <c r="O192" s="15">
        <v>37.413900101000209</v>
      </c>
      <c r="P192" s="15">
        <v>0</v>
      </c>
      <c r="Q192" s="15">
        <f t="shared" si="6"/>
        <v>0</v>
      </c>
      <c r="R192" s="15">
        <v>0</v>
      </c>
      <c r="S192" s="15">
        <f t="shared" si="7"/>
        <v>0</v>
      </c>
      <c r="T192" s="16"/>
      <c r="U192" s="15">
        <f t="shared" si="10"/>
        <v>37.413900101000209</v>
      </c>
    </row>
    <row r="193" spans="1:21" hidden="1" x14ac:dyDescent="0.25">
      <c r="A193" s="16" t="s">
        <v>37</v>
      </c>
      <c r="B193" s="16" t="s">
        <v>257</v>
      </c>
      <c r="C193" s="16" t="s">
        <v>258</v>
      </c>
      <c r="D193" s="16" t="s">
        <v>100</v>
      </c>
      <c r="E193" s="16" t="s">
        <v>101</v>
      </c>
      <c r="F193" s="16" t="s">
        <v>146</v>
      </c>
      <c r="G193" s="16" t="s">
        <v>147</v>
      </c>
      <c r="H193" s="16" t="s">
        <v>85</v>
      </c>
      <c r="I193" s="16" t="s">
        <v>40</v>
      </c>
      <c r="J193" s="16" t="s">
        <v>69</v>
      </c>
      <c r="K193" s="16" t="s">
        <v>70</v>
      </c>
      <c r="L193" s="15">
        <v>-1818.51286</v>
      </c>
      <c r="M193" s="15">
        <v>-1818.51286</v>
      </c>
      <c r="N193" s="15">
        <v>-1795.4978742000003</v>
      </c>
      <c r="O193" s="15">
        <v>-23.014985799999693</v>
      </c>
      <c r="P193" s="15">
        <v>0</v>
      </c>
      <c r="Q193" s="15">
        <f t="shared" si="6"/>
        <v>0</v>
      </c>
      <c r="R193" s="15">
        <v>0</v>
      </c>
      <c r="S193" s="15">
        <f t="shared" si="7"/>
        <v>0</v>
      </c>
      <c r="T193" s="16"/>
      <c r="U193" s="15">
        <f t="shared" si="10"/>
        <v>-23.014985799999693</v>
      </c>
    </row>
    <row r="194" spans="1:21" hidden="1" x14ac:dyDescent="0.25">
      <c r="A194" s="16" t="s">
        <v>37</v>
      </c>
      <c r="B194" s="16" t="s">
        <v>257</v>
      </c>
      <c r="C194" s="16" t="s">
        <v>258</v>
      </c>
      <c r="D194" s="16" t="s">
        <v>100</v>
      </c>
      <c r="E194" s="16" t="s">
        <v>101</v>
      </c>
      <c r="F194" s="16" t="s">
        <v>146</v>
      </c>
      <c r="G194" s="16" t="s">
        <v>147</v>
      </c>
      <c r="H194" s="16" t="s">
        <v>85</v>
      </c>
      <c r="I194" s="16" t="s">
        <v>40</v>
      </c>
      <c r="J194" s="16" t="s">
        <v>136</v>
      </c>
      <c r="K194" s="16" t="s">
        <v>137</v>
      </c>
      <c r="L194" s="15">
        <v>-15150.600000000011</v>
      </c>
      <c r="M194" s="15">
        <v>0</v>
      </c>
      <c r="N194" s="15">
        <v>-15150.6</v>
      </c>
      <c r="O194" s="15">
        <v>-1.0118128557223827E-11</v>
      </c>
      <c r="P194" s="15">
        <v>-1.0118128557223827E-11</v>
      </c>
      <c r="Q194" s="15">
        <f t="shared" si="6"/>
        <v>-1.0118128557223827E-11</v>
      </c>
      <c r="R194" s="15">
        <v>0</v>
      </c>
      <c r="S194" s="15">
        <f t="shared" si="7"/>
        <v>-1.0118128557223827E-11</v>
      </c>
      <c r="T194" s="16"/>
      <c r="U194" s="26"/>
    </row>
    <row r="195" spans="1:21" hidden="1" x14ac:dyDescent="0.25">
      <c r="A195" s="16" t="s">
        <v>37</v>
      </c>
      <c r="B195" s="16" t="s">
        <v>265</v>
      </c>
      <c r="C195" s="16" t="s">
        <v>266</v>
      </c>
      <c r="D195" s="16" t="s">
        <v>100</v>
      </c>
      <c r="E195" s="16" t="s">
        <v>101</v>
      </c>
      <c r="F195" s="16" t="s">
        <v>146</v>
      </c>
      <c r="G195" s="16" t="s">
        <v>147</v>
      </c>
      <c r="H195" s="16" t="s">
        <v>85</v>
      </c>
      <c r="I195" s="16" t="s">
        <v>40</v>
      </c>
      <c r="J195" s="16" t="s">
        <v>138</v>
      </c>
      <c r="K195" s="16" t="s">
        <v>139</v>
      </c>
      <c r="L195" s="15">
        <v>-283.7046584422759</v>
      </c>
      <c r="M195" s="15">
        <v>0</v>
      </c>
      <c r="N195" s="15">
        <v>-283.7046584422759</v>
      </c>
      <c r="O195" s="15">
        <v>1.4210854715202004E-14</v>
      </c>
      <c r="P195" s="15">
        <v>0</v>
      </c>
      <c r="Q195" s="15">
        <f t="shared" si="6"/>
        <v>0</v>
      </c>
      <c r="R195" s="15">
        <v>0</v>
      </c>
      <c r="S195" s="15">
        <f t="shared" si="7"/>
        <v>0</v>
      </c>
      <c r="T195" s="16"/>
      <c r="U195" s="16"/>
    </row>
    <row r="196" spans="1:21" x14ac:dyDescent="0.25">
      <c r="A196" s="16" t="s">
        <v>37</v>
      </c>
      <c r="B196" s="16" t="s">
        <v>269</v>
      </c>
      <c r="C196" s="16" t="s">
        <v>270</v>
      </c>
      <c r="D196" s="16" t="s">
        <v>100</v>
      </c>
      <c r="E196" s="16" t="s">
        <v>101</v>
      </c>
      <c r="F196" s="16" t="s">
        <v>148</v>
      </c>
      <c r="G196" s="16" t="s">
        <v>149</v>
      </c>
      <c r="H196" s="16" t="s">
        <v>85</v>
      </c>
      <c r="I196" s="16" t="s">
        <v>40</v>
      </c>
      <c r="J196" s="16" t="s">
        <v>38</v>
      </c>
      <c r="K196" s="16" t="s">
        <v>293</v>
      </c>
      <c r="L196" s="15">
        <v>-57766.507783655929</v>
      </c>
      <c r="M196" s="15">
        <v>-3495.7834137248519</v>
      </c>
      <c r="N196" s="15">
        <v>-68943.572162502009</v>
      </c>
      <c r="O196" s="15">
        <v>11177.064378846062</v>
      </c>
      <c r="P196" s="15">
        <f>O196</f>
        <v>11177.064378846062</v>
      </c>
      <c r="Q196" s="15">
        <f>P196-R196-11177</f>
        <v>6.4378846062027151E-2</v>
      </c>
      <c r="R196" s="15">
        <v>0</v>
      </c>
      <c r="S196" s="15">
        <f t="shared" si="7"/>
        <v>6.4378846062027151E-2</v>
      </c>
      <c r="T196" s="16"/>
      <c r="U196" s="16"/>
    </row>
    <row r="197" spans="1:21" hidden="1" x14ac:dyDescent="0.25">
      <c r="A197" s="16" t="s">
        <v>37</v>
      </c>
      <c r="B197" s="16" t="s">
        <v>265</v>
      </c>
      <c r="C197" s="16" t="s">
        <v>266</v>
      </c>
      <c r="D197" s="16" t="s">
        <v>100</v>
      </c>
      <c r="E197" s="16" t="s">
        <v>101</v>
      </c>
      <c r="F197" s="16" t="s">
        <v>148</v>
      </c>
      <c r="G197" s="16" t="s">
        <v>149</v>
      </c>
      <c r="H197" s="16" t="s">
        <v>85</v>
      </c>
      <c r="I197" s="16" t="s">
        <v>40</v>
      </c>
      <c r="J197" s="16" t="s">
        <v>38</v>
      </c>
      <c r="K197" s="16" t="s">
        <v>293</v>
      </c>
      <c r="L197" s="15">
        <v>-770614.03007347696</v>
      </c>
      <c r="M197" s="15">
        <v>-41710.510859115784</v>
      </c>
      <c r="N197" s="15">
        <v>-679744.10529919947</v>
      </c>
      <c r="O197" s="15">
        <v>-90869.924774277606</v>
      </c>
      <c r="P197" s="15">
        <v>-90869.924774277606</v>
      </c>
      <c r="Q197" s="15">
        <f t="shared" si="6"/>
        <v>-90869.924774277606</v>
      </c>
      <c r="R197" s="15">
        <v>0</v>
      </c>
      <c r="S197" s="15">
        <f t="shared" si="7"/>
        <v>-90869.924774277606</v>
      </c>
      <c r="T197" s="16"/>
      <c r="U197" s="16"/>
    </row>
    <row r="198" spans="1:21" hidden="1" x14ac:dyDescent="0.25">
      <c r="A198" s="16" t="s">
        <v>37</v>
      </c>
      <c r="B198" s="16" t="s">
        <v>257</v>
      </c>
      <c r="C198" s="16" t="s">
        <v>258</v>
      </c>
      <c r="D198" s="16" t="s">
        <v>100</v>
      </c>
      <c r="E198" s="16" t="s">
        <v>101</v>
      </c>
      <c r="F198" s="16" t="s">
        <v>148</v>
      </c>
      <c r="G198" s="16" t="s">
        <v>149</v>
      </c>
      <c r="H198" s="16" t="s">
        <v>85</v>
      </c>
      <c r="I198" s="16" t="s">
        <v>40</v>
      </c>
      <c r="J198" s="16" t="s">
        <v>38</v>
      </c>
      <c r="K198" s="16" t="s">
        <v>293</v>
      </c>
      <c r="L198" s="15">
        <v>-240185.23504173156</v>
      </c>
      <c r="M198" s="15">
        <v>-46789.206696675668</v>
      </c>
      <c r="N198" s="15">
        <v>-79018.020347550002</v>
      </c>
      <c r="O198" s="15">
        <v>-161167.21469418157</v>
      </c>
      <c r="P198" s="15">
        <v>-161167.21469418157</v>
      </c>
      <c r="Q198" s="15">
        <f>P198-R198+P196</f>
        <v>-149990.15031533552</v>
      </c>
      <c r="R198" s="15">
        <v>0</v>
      </c>
      <c r="S198" s="15">
        <f t="shared" si="7"/>
        <v>-149990.15031533552</v>
      </c>
      <c r="T198" s="16"/>
      <c r="U198" s="26"/>
    </row>
    <row r="199" spans="1:21" x14ac:dyDescent="0.25">
      <c r="A199" s="16" t="s">
        <v>37</v>
      </c>
      <c r="B199" s="16" t="s">
        <v>269</v>
      </c>
      <c r="C199" s="16" t="s">
        <v>270</v>
      </c>
      <c r="D199" s="16" t="s">
        <v>100</v>
      </c>
      <c r="E199" s="16" t="s">
        <v>101</v>
      </c>
      <c r="F199" s="16" t="s">
        <v>148</v>
      </c>
      <c r="G199" s="16" t="s">
        <v>149</v>
      </c>
      <c r="H199" s="16" t="s">
        <v>85</v>
      </c>
      <c r="I199" s="16" t="s">
        <v>40</v>
      </c>
      <c r="J199" s="16" t="s">
        <v>130</v>
      </c>
      <c r="K199" s="16" t="s">
        <v>131</v>
      </c>
      <c r="L199" s="15">
        <v>-2983.7500000103014</v>
      </c>
      <c r="M199" s="15">
        <v>-2983.7500000103014</v>
      </c>
      <c r="N199" s="15">
        <v>0</v>
      </c>
      <c r="O199" s="15">
        <v>-2983.7500000103014</v>
      </c>
      <c r="P199" s="15">
        <v>-2983.7500000103014</v>
      </c>
      <c r="Q199" s="15">
        <f t="shared" si="6"/>
        <v>-2983.7500000103014</v>
      </c>
      <c r="R199" s="15">
        <v>0</v>
      </c>
      <c r="S199" s="15">
        <f t="shared" si="7"/>
        <v>-2983.7500000103014</v>
      </c>
      <c r="T199" s="16"/>
      <c r="U199" s="16"/>
    </row>
    <row r="200" spans="1:21" hidden="1" x14ac:dyDescent="0.25">
      <c r="A200" s="16" t="s">
        <v>37</v>
      </c>
      <c r="B200" s="16" t="s">
        <v>257</v>
      </c>
      <c r="C200" s="16" t="s">
        <v>258</v>
      </c>
      <c r="D200" s="16" t="s">
        <v>100</v>
      </c>
      <c r="E200" s="16" t="s">
        <v>101</v>
      </c>
      <c r="F200" s="16" t="s">
        <v>148</v>
      </c>
      <c r="G200" s="16" t="s">
        <v>149</v>
      </c>
      <c r="H200" s="16" t="s">
        <v>85</v>
      </c>
      <c r="I200" s="16" t="s">
        <v>40</v>
      </c>
      <c r="J200" s="16" t="s">
        <v>296</v>
      </c>
      <c r="K200" s="16" t="s">
        <v>297</v>
      </c>
      <c r="L200" s="15">
        <v>-1030.4949996789999</v>
      </c>
      <c r="M200" s="15">
        <v>0</v>
      </c>
      <c r="N200" s="15">
        <v>-1030.1521720000001</v>
      </c>
      <c r="O200" s="15">
        <v>-0.3428276789999245</v>
      </c>
      <c r="P200" s="15">
        <v>-0.3428276789999245</v>
      </c>
      <c r="Q200" s="15">
        <f t="shared" si="6"/>
        <v>-0.3428276789999245</v>
      </c>
      <c r="R200" s="15">
        <v>0</v>
      </c>
      <c r="S200" s="15">
        <f t="shared" si="7"/>
        <v>-0.3428276789999245</v>
      </c>
      <c r="T200" s="16"/>
      <c r="U200" s="26"/>
    </row>
    <row r="201" spans="1:21" x14ac:dyDescent="0.25">
      <c r="A201" s="16" t="s">
        <v>37</v>
      </c>
      <c r="B201" s="16" t="s">
        <v>269</v>
      </c>
      <c r="C201" s="16" t="s">
        <v>270</v>
      </c>
      <c r="D201" s="16" t="s">
        <v>100</v>
      </c>
      <c r="E201" s="16" t="s">
        <v>101</v>
      </c>
      <c r="F201" s="16" t="s">
        <v>148</v>
      </c>
      <c r="G201" s="16" t="s">
        <v>149</v>
      </c>
      <c r="H201" s="16" t="s">
        <v>85</v>
      </c>
      <c r="I201" s="16" t="s">
        <v>40</v>
      </c>
      <c r="J201" s="16" t="s">
        <v>124</v>
      </c>
      <c r="K201" s="16" t="s">
        <v>125</v>
      </c>
      <c r="L201" s="15">
        <v>-326.24607971303851</v>
      </c>
      <c r="M201" s="15">
        <v>0</v>
      </c>
      <c r="N201" s="15">
        <v>-245.9699999999998</v>
      </c>
      <c r="O201" s="15">
        <v>-80.276079713038669</v>
      </c>
      <c r="P201" s="15">
        <v>0</v>
      </c>
      <c r="Q201" s="15">
        <f t="shared" si="6"/>
        <v>0</v>
      </c>
      <c r="R201" s="15">
        <v>0</v>
      </c>
      <c r="S201" s="15">
        <f t="shared" si="7"/>
        <v>0</v>
      </c>
      <c r="T201" s="16"/>
      <c r="U201" s="16"/>
    </row>
    <row r="202" spans="1:21" hidden="1" x14ac:dyDescent="0.25">
      <c r="A202" s="16" t="s">
        <v>37</v>
      </c>
      <c r="B202" s="16" t="s">
        <v>265</v>
      </c>
      <c r="C202" s="16" t="s">
        <v>266</v>
      </c>
      <c r="D202" s="16" t="s">
        <v>100</v>
      </c>
      <c r="E202" s="16" t="s">
        <v>101</v>
      </c>
      <c r="F202" s="16" t="s">
        <v>148</v>
      </c>
      <c r="G202" s="16" t="s">
        <v>149</v>
      </c>
      <c r="H202" s="16" t="s">
        <v>85</v>
      </c>
      <c r="I202" s="16" t="s">
        <v>40</v>
      </c>
      <c r="J202" s="16" t="s">
        <v>124</v>
      </c>
      <c r="K202" s="16" t="s">
        <v>125</v>
      </c>
      <c r="L202" s="15">
        <v>-83980.325596490962</v>
      </c>
      <c r="M202" s="15">
        <v>0</v>
      </c>
      <c r="N202" s="15">
        <v>-67381.205501853343</v>
      </c>
      <c r="O202" s="15">
        <v>-16599.120094637619</v>
      </c>
      <c r="P202" s="15">
        <v>0</v>
      </c>
      <c r="Q202" s="15">
        <f t="shared" si="6"/>
        <v>0</v>
      </c>
      <c r="R202" s="15">
        <v>0</v>
      </c>
      <c r="S202" s="15">
        <f t="shared" si="7"/>
        <v>0</v>
      </c>
      <c r="T202" s="16"/>
      <c r="U202" s="16"/>
    </row>
    <row r="203" spans="1:21" hidden="1" x14ac:dyDescent="0.25">
      <c r="A203" s="16" t="s">
        <v>37</v>
      </c>
      <c r="B203" s="16" t="s">
        <v>257</v>
      </c>
      <c r="C203" s="16" t="s">
        <v>258</v>
      </c>
      <c r="D203" s="16" t="s">
        <v>100</v>
      </c>
      <c r="E203" s="16" t="s">
        <v>101</v>
      </c>
      <c r="F203" s="16" t="s">
        <v>148</v>
      </c>
      <c r="G203" s="16" t="s">
        <v>149</v>
      </c>
      <c r="H203" s="16" t="s">
        <v>85</v>
      </c>
      <c r="I203" s="16" t="s">
        <v>40</v>
      </c>
      <c r="J203" s="16" t="s">
        <v>124</v>
      </c>
      <c r="K203" s="16" t="s">
        <v>125</v>
      </c>
      <c r="L203" s="15">
        <v>-49.851300000000002</v>
      </c>
      <c r="M203" s="15">
        <v>0</v>
      </c>
      <c r="N203" s="15">
        <v>-37.775855999999997</v>
      </c>
      <c r="O203" s="15">
        <v>-12.075444000000008</v>
      </c>
      <c r="P203" s="15">
        <v>0</v>
      </c>
      <c r="Q203" s="15">
        <f t="shared" si="6"/>
        <v>0</v>
      </c>
      <c r="R203" s="15">
        <v>0</v>
      </c>
      <c r="S203" s="15">
        <f t="shared" si="7"/>
        <v>0</v>
      </c>
      <c r="T203" s="16"/>
      <c r="U203" s="26"/>
    </row>
    <row r="204" spans="1:21" hidden="1" x14ac:dyDescent="0.25">
      <c r="A204" s="16" t="s">
        <v>37</v>
      </c>
      <c r="B204" s="16" t="s">
        <v>257</v>
      </c>
      <c r="C204" s="16" t="s">
        <v>258</v>
      </c>
      <c r="D204" s="16" t="s">
        <v>100</v>
      </c>
      <c r="E204" s="16" t="s">
        <v>101</v>
      </c>
      <c r="F204" s="16" t="s">
        <v>148</v>
      </c>
      <c r="G204" s="16" t="s">
        <v>149</v>
      </c>
      <c r="H204" s="16" t="s">
        <v>85</v>
      </c>
      <c r="I204" s="16" t="s">
        <v>40</v>
      </c>
      <c r="J204" s="16" t="s">
        <v>298</v>
      </c>
      <c r="K204" s="16" t="s">
        <v>299</v>
      </c>
      <c r="L204" s="15">
        <v>-1809.1078515200006</v>
      </c>
      <c r="M204" s="15">
        <v>-74.14305600000003</v>
      </c>
      <c r="N204" s="15">
        <v>-1151.3489468118</v>
      </c>
      <c r="O204" s="15">
        <v>-657.75890470820059</v>
      </c>
      <c r="P204" s="15">
        <v>-657.75890470820059</v>
      </c>
      <c r="Q204" s="15">
        <f t="shared" ref="Q204:Q267" si="11">P204-R204</f>
        <v>-657.75890470820059</v>
      </c>
      <c r="R204" s="15">
        <v>0</v>
      </c>
      <c r="S204" s="15">
        <f t="shared" ref="S204:S267" si="12">SUM(Q204:R204)</f>
        <v>-657.75890470820059</v>
      </c>
      <c r="T204" s="16"/>
      <c r="U204" s="26"/>
    </row>
    <row r="205" spans="1:21" x14ac:dyDescent="0.25">
      <c r="A205" s="16" t="s">
        <v>37</v>
      </c>
      <c r="B205" s="16" t="s">
        <v>269</v>
      </c>
      <c r="C205" s="16" t="s">
        <v>270</v>
      </c>
      <c r="D205" s="16" t="s">
        <v>100</v>
      </c>
      <c r="E205" s="16" t="s">
        <v>101</v>
      </c>
      <c r="F205" s="16" t="s">
        <v>148</v>
      </c>
      <c r="G205" s="16" t="s">
        <v>149</v>
      </c>
      <c r="H205" s="16" t="s">
        <v>85</v>
      </c>
      <c r="I205" s="16" t="s">
        <v>40</v>
      </c>
      <c r="J205" s="16" t="s">
        <v>132</v>
      </c>
      <c r="K205" s="16" t="s">
        <v>133</v>
      </c>
      <c r="L205" s="15">
        <v>-10752.880439504048</v>
      </c>
      <c r="M205" s="15">
        <v>-10752.880439504048</v>
      </c>
      <c r="N205" s="15">
        <v>-10752.879998038954</v>
      </c>
      <c r="O205" s="15">
        <v>-4.4146508844278287E-4</v>
      </c>
      <c r="P205" s="15">
        <v>0</v>
      </c>
      <c r="Q205" s="15">
        <f t="shared" si="11"/>
        <v>0</v>
      </c>
      <c r="R205" s="15">
        <v>0</v>
      </c>
      <c r="S205" s="15">
        <f t="shared" si="12"/>
        <v>0</v>
      </c>
      <c r="T205" s="16"/>
      <c r="U205" s="16"/>
    </row>
    <row r="206" spans="1:21" x14ac:dyDescent="0.25">
      <c r="A206" s="16" t="s">
        <v>37</v>
      </c>
      <c r="B206" s="16" t="s">
        <v>269</v>
      </c>
      <c r="C206" s="16" t="s">
        <v>270</v>
      </c>
      <c r="D206" s="16" t="s">
        <v>100</v>
      </c>
      <c r="E206" s="16" t="s">
        <v>101</v>
      </c>
      <c r="F206" s="16" t="s">
        <v>148</v>
      </c>
      <c r="G206" s="16" t="s">
        <v>149</v>
      </c>
      <c r="H206" s="16" t="s">
        <v>85</v>
      </c>
      <c r="I206" s="16" t="s">
        <v>40</v>
      </c>
      <c r="J206" s="16" t="s">
        <v>64</v>
      </c>
      <c r="K206" s="16" t="s">
        <v>65</v>
      </c>
      <c r="L206" s="15">
        <v>-18176.756525245553</v>
      </c>
      <c r="M206" s="15">
        <v>0</v>
      </c>
      <c r="N206" s="15">
        <v>-16176.759974366323</v>
      </c>
      <c r="O206" s="15">
        <v>-1999.9965508792291</v>
      </c>
      <c r="P206" s="15">
        <v>-1999.9965508792291</v>
      </c>
      <c r="Q206" s="15">
        <f t="shared" si="11"/>
        <v>-1999.9965508792291</v>
      </c>
      <c r="R206" s="15">
        <v>0</v>
      </c>
      <c r="S206" s="15">
        <f t="shared" si="12"/>
        <v>-1999.9965508792291</v>
      </c>
      <c r="T206" s="16"/>
      <c r="U206" s="16"/>
    </row>
    <row r="207" spans="1:21" x14ac:dyDescent="0.25">
      <c r="A207" s="16" t="s">
        <v>37</v>
      </c>
      <c r="B207" s="16" t="s">
        <v>269</v>
      </c>
      <c r="C207" s="16" t="s">
        <v>270</v>
      </c>
      <c r="D207" s="16" t="s">
        <v>100</v>
      </c>
      <c r="E207" s="16" t="s">
        <v>101</v>
      </c>
      <c r="F207" s="16" t="s">
        <v>148</v>
      </c>
      <c r="G207" s="16" t="s">
        <v>149</v>
      </c>
      <c r="H207" s="16" t="s">
        <v>85</v>
      </c>
      <c r="I207" s="16" t="s">
        <v>40</v>
      </c>
      <c r="J207" s="16" t="s">
        <v>66</v>
      </c>
      <c r="K207" s="16" t="s">
        <v>63</v>
      </c>
      <c r="L207" s="15">
        <v>-9034.5842188553943</v>
      </c>
      <c r="M207" s="15">
        <v>-9034.5842188553943</v>
      </c>
      <c r="N207" s="15">
        <v>-9034.5799923394934</v>
      </c>
      <c r="O207" s="15">
        <v>-4.2265159031558142E-3</v>
      </c>
      <c r="P207" s="15">
        <v>0</v>
      </c>
      <c r="Q207" s="15">
        <f t="shared" si="11"/>
        <v>0</v>
      </c>
      <c r="R207" s="15">
        <v>0</v>
      </c>
      <c r="S207" s="15">
        <f t="shared" si="12"/>
        <v>0</v>
      </c>
      <c r="T207" s="16"/>
      <c r="U207" s="16"/>
    </row>
    <row r="208" spans="1:21" hidden="1" x14ac:dyDescent="0.25">
      <c r="A208" s="16" t="s">
        <v>37</v>
      </c>
      <c r="B208" s="16" t="s">
        <v>257</v>
      </c>
      <c r="C208" s="16" t="s">
        <v>258</v>
      </c>
      <c r="D208" s="16" t="s">
        <v>100</v>
      </c>
      <c r="E208" s="16" t="s">
        <v>101</v>
      </c>
      <c r="F208" s="16" t="s">
        <v>148</v>
      </c>
      <c r="G208" s="16" t="s">
        <v>149</v>
      </c>
      <c r="H208" s="16" t="s">
        <v>85</v>
      </c>
      <c r="I208" s="16" t="s">
        <v>40</v>
      </c>
      <c r="J208" s="16" t="s">
        <v>67</v>
      </c>
      <c r="K208" s="16" t="s">
        <v>68</v>
      </c>
      <c r="L208" s="15">
        <v>-1120</v>
      </c>
      <c r="M208" s="15">
        <v>0</v>
      </c>
      <c r="N208" s="15">
        <v>0</v>
      </c>
      <c r="O208" s="15">
        <v>-1120</v>
      </c>
      <c r="P208" s="15">
        <v>-1120</v>
      </c>
      <c r="Q208" s="15">
        <f t="shared" si="11"/>
        <v>-1120</v>
      </c>
      <c r="R208" s="15">
        <v>0</v>
      </c>
      <c r="S208" s="15">
        <f t="shared" si="12"/>
        <v>-1120</v>
      </c>
      <c r="T208" s="16"/>
      <c r="U208" s="26"/>
    </row>
    <row r="209" spans="1:21" x14ac:dyDescent="0.25">
      <c r="A209" s="16" t="s">
        <v>37</v>
      </c>
      <c r="B209" s="16" t="s">
        <v>269</v>
      </c>
      <c r="C209" s="16" t="s">
        <v>270</v>
      </c>
      <c r="D209" s="16" t="s">
        <v>100</v>
      </c>
      <c r="E209" s="16" t="s">
        <v>101</v>
      </c>
      <c r="F209" s="16" t="s">
        <v>148</v>
      </c>
      <c r="G209" s="16" t="s">
        <v>149</v>
      </c>
      <c r="H209" s="16" t="s">
        <v>85</v>
      </c>
      <c r="I209" s="16" t="s">
        <v>40</v>
      </c>
      <c r="J209" s="16" t="s">
        <v>69</v>
      </c>
      <c r="K209" s="16" t="s">
        <v>70</v>
      </c>
      <c r="L209" s="15">
        <v>-273.84680096071338</v>
      </c>
      <c r="M209" s="15">
        <v>-273.84680096071338</v>
      </c>
      <c r="N209" s="15">
        <v>-273.84999951406212</v>
      </c>
      <c r="O209" s="15">
        <v>3.198553348688904E-3</v>
      </c>
      <c r="P209" s="15">
        <v>0</v>
      </c>
      <c r="Q209" s="15">
        <f t="shared" si="11"/>
        <v>0</v>
      </c>
      <c r="R209" s="15">
        <v>0</v>
      </c>
      <c r="S209" s="15">
        <f t="shared" si="12"/>
        <v>0</v>
      </c>
      <c r="T209" s="16"/>
      <c r="U209" s="15">
        <f t="shared" ref="U209:U210" si="13">O209</f>
        <v>3.198553348688904E-3</v>
      </c>
    </row>
    <row r="210" spans="1:21" hidden="1" x14ac:dyDescent="0.25">
      <c r="A210" s="16" t="s">
        <v>37</v>
      </c>
      <c r="B210" s="16" t="s">
        <v>257</v>
      </c>
      <c r="C210" s="16" t="s">
        <v>258</v>
      </c>
      <c r="D210" s="16" t="s">
        <v>100</v>
      </c>
      <c r="E210" s="16" t="s">
        <v>101</v>
      </c>
      <c r="F210" s="16" t="s">
        <v>148</v>
      </c>
      <c r="G210" s="16" t="s">
        <v>149</v>
      </c>
      <c r="H210" s="16" t="s">
        <v>85</v>
      </c>
      <c r="I210" s="16" t="s">
        <v>40</v>
      </c>
      <c r="J210" s="16" t="s">
        <v>69</v>
      </c>
      <c r="K210" s="16" t="s">
        <v>70</v>
      </c>
      <c r="L210" s="15">
        <v>-746.21734599999991</v>
      </c>
      <c r="M210" s="15">
        <v>-746.21734599999991</v>
      </c>
      <c r="N210" s="15">
        <v>-736.77326561999996</v>
      </c>
      <c r="O210" s="15">
        <v>-9.4440803799999458</v>
      </c>
      <c r="P210" s="15">
        <v>0</v>
      </c>
      <c r="Q210" s="15">
        <f t="shared" si="11"/>
        <v>0</v>
      </c>
      <c r="R210" s="15">
        <v>0</v>
      </c>
      <c r="S210" s="15">
        <f t="shared" si="12"/>
        <v>0</v>
      </c>
      <c r="T210" s="16"/>
      <c r="U210" s="15">
        <f t="shared" si="13"/>
        <v>-9.4440803799999458</v>
      </c>
    </row>
    <row r="211" spans="1:21" hidden="1" x14ac:dyDescent="0.25">
      <c r="A211" s="16" t="s">
        <v>37</v>
      </c>
      <c r="B211" s="16" t="s">
        <v>257</v>
      </c>
      <c r="C211" s="16" t="s">
        <v>258</v>
      </c>
      <c r="D211" s="16" t="s">
        <v>100</v>
      </c>
      <c r="E211" s="16" t="s">
        <v>101</v>
      </c>
      <c r="F211" s="16" t="s">
        <v>148</v>
      </c>
      <c r="G211" s="16" t="s">
        <v>149</v>
      </c>
      <c r="H211" s="16" t="s">
        <v>85</v>
      </c>
      <c r="I211" s="16" t="s">
        <v>40</v>
      </c>
      <c r="J211" s="16" t="s">
        <v>136</v>
      </c>
      <c r="K211" s="16" t="s">
        <v>137</v>
      </c>
      <c r="L211" s="15">
        <v>-15150.600000000011</v>
      </c>
      <c r="M211" s="15">
        <v>0</v>
      </c>
      <c r="N211" s="15">
        <v>-15150.6</v>
      </c>
      <c r="O211" s="15">
        <v>-1.0913936421275139E-11</v>
      </c>
      <c r="P211" s="15">
        <v>-1.0913936421275139E-11</v>
      </c>
      <c r="Q211" s="15">
        <f t="shared" si="11"/>
        <v>-1.0913936421275139E-11</v>
      </c>
      <c r="R211" s="15">
        <v>0</v>
      </c>
      <c r="S211" s="15">
        <f t="shared" si="12"/>
        <v>-1.0913936421275139E-11</v>
      </c>
      <c r="T211" s="16"/>
      <c r="U211" s="26"/>
    </row>
    <row r="212" spans="1:21" hidden="1" x14ac:dyDescent="0.25">
      <c r="A212" s="16" t="s">
        <v>37</v>
      </c>
      <c r="B212" s="16" t="s">
        <v>265</v>
      </c>
      <c r="C212" s="16" t="s">
        <v>266</v>
      </c>
      <c r="D212" s="16" t="s">
        <v>100</v>
      </c>
      <c r="E212" s="16" t="s">
        <v>101</v>
      </c>
      <c r="F212" s="16" t="s">
        <v>148</v>
      </c>
      <c r="G212" s="16" t="s">
        <v>149</v>
      </c>
      <c r="H212" s="16" t="s">
        <v>85</v>
      </c>
      <c r="I212" s="16" t="s">
        <v>40</v>
      </c>
      <c r="J212" s="16" t="s">
        <v>138</v>
      </c>
      <c r="K212" s="16" t="s">
        <v>139</v>
      </c>
      <c r="L212" s="15">
        <v>-929.92082489412621</v>
      </c>
      <c r="M212" s="15">
        <v>0</v>
      </c>
      <c r="N212" s="15">
        <v>-929.92082489412621</v>
      </c>
      <c r="O212" s="15">
        <v>-5.6843418860808015E-14</v>
      </c>
      <c r="P212" s="15">
        <v>0</v>
      </c>
      <c r="Q212" s="15">
        <f t="shared" si="11"/>
        <v>0</v>
      </c>
      <c r="R212" s="15">
        <v>0</v>
      </c>
      <c r="S212" s="15">
        <f t="shared" si="12"/>
        <v>0</v>
      </c>
      <c r="T212" s="16"/>
      <c r="U212" s="16"/>
    </row>
    <row r="213" spans="1:21" x14ac:dyDescent="0.25">
      <c r="A213" s="16" t="s">
        <v>37</v>
      </c>
      <c r="B213" s="16" t="s">
        <v>269</v>
      </c>
      <c r="C213" s="16" t="s">
        <v>270</v>
      </c>
      <c r="D213" s="16" t="s">
        <v>100</v>
      </c>
      <c r="E213" s="16" t="s">
        <v>101</v>
      </c>
      <c r="F213" s="16" t="s">
        <v>150</v>
      </c>
      <c r="G213" s="16" t="s">
        <v>151</v>
      </c>
      <c r="H213" s="16" t="s">
        <v>85</v>
      </c>
      <c r="I213" s="16" t="s">
        <v>40</v>
      </c>
      <c r="J213" s="16" t="s">
        <v>38</v>
      </c>
      <c r="K213" s="16" t="s">
        <v>293</v>
      </c>
      <c r="L213" s="15">
        <v>-69311.807689992798</v>
      </c>
      <c r="M213" s="15">
        <v>-1362.9113140377444</v>
      </c>
      <c r="N213" s="15">
        <v>-90516.822132757981</v>
      </c>
      <c r="O213" s="15">
        <v>21205.01444276519</v>
      </c>
      <c r="P213" s="15">
        <f>O213</f>
        <v>21205.01444276519</v>
      </c>
      <c r="Q213" s="15">
        <f>P213-R213-21205</f>
        <v>1.444276519032428E-2</v>
      </c>
      <c r="R213" s="15">
        <v>0</v>
      </c>
      <c r="S213" s="15">
        <f t="shared" si="12"/>
        <v>1.444276519032428E-2</v>
      </c>
      <c r="T213" s="16"/>
      <c r="U213" s="16"/>
    </row>
    <row r="214" spans="1:21" hidden="1" x14ac:dyDescent="0.25">
      <c r="A214" s="16" t="s">
        <v>37</v>
      </c>
      <c r="B214" s="16" t="s">
        <v>265</v>
      </c>
      <c r="C214" s="16" t="s">
        <v>266</v>
      </c>
      <c r="D214" s="16" t="s">
        <v>100</v>
      </c>
      <c r="E214" s="16" t="s">
        <v>101</v>
      </c>
      <c r="F214" s="16" t="s">
        <v>150</v>
      </c>
      <c r="G214" s="16" t="s">
        <v>151</v>
      </c>
      <c r="H214" s="16" t="s">
        <v>85</v>
      </c>
      <c r="I214" s="16" t="s">
        <v>40</v>
      </c>
      <c r="J214" s="16" t="s">
        <v>38</v>
      </c>
      <c r="K214" s="16" t="s">
        <v>293</v>
      </c>
      <c r="L214" s="15">
        <v>-734552.59319608833</v>
      </c>
      <c r="M214" s="15">
        <v>-17355.210336059125</v>
      </c>
      <c r="N214" s="15">
        <v>-681405.83136771293</v>
      </c>
      <c r="O214" s="15">
        <v>-53146.761828375456</v>
      </c>
      <c r="P214" s="15">
        <v>-53146.761828375456</v>
      </c>
      <c r="Q214" s="15">
        <f t="shared" si="11"/>
        <v>-53146.761828375456</v>
      </c>
      <c r="R214" s="15">
        <v>0</v>
      </c>
      <c r="S214" s="15">
        <f t="shared" si="12"/>
        <v>-53146.761828375456</v>
      </c>
      <c r="T214" s="16"/>
      <c r="U214" s="16"/>
    </row>
    <row r="215" spans="1:21" hidden="1" x14ac:dyDescent="0.25">
      <c r="A215" s="16" t="s">
        <v>37</v>
      </c>
      <c r="B215" s="16" t="s">
        <v>257</v>
      </c>
      <c r="C215" s="16" t="s">
        <v>258</v>
      </c>
      <c r="D215" s="16" t="s">
        <v>100</v>
      </c>
      <c r="E215" s="16" t="s">
        <v>101</v>
      </c>
      <c r="F215" s="16" t="s">
        <v>150</v>
      </c>
      <c r="G215" s="16" t="s">
        <v>151</v>
      </c>
      <c r="H215" s="16" t="s">
        <v>85</v>
      </c>
      <c r="I215" s="16" t="s">
        <v>40</v>
      </c>
      <c r="J215" s="16" t="s">
        <v>38</v>
      </c>
      <c r="K215" s="16" t="s">
        <v>293</v>
      </c>
      <c r="L215" s="15">
        <v>-2069203.2258091397</v>
      </c>
      <c r="M215" s="15">
        <v>-368671.95500238927</v>
      </c>
      <c r="N215" s="15">
        <v>-1272670.7156298857</v>
      </c>
      <c r="O215" s="15">
        <v>-796532.51017925376</v>
      </c>
      <c r="P215" s="15">
        <v>-796532.51017925376</v>
      </c>
      <c r="Q215" s="15">
        <f>P215-R215+P213</f>
        <v>-775327.49573648861</v>
      </c>
      <c r="R215" s="15">
        <v>0</v>
      </c>
      <c r="S215" s="15">
        <f t="shared" si="12"/>
        <v>-775327.49573648861</v>
      </c>
      <c r="T215" s="16"/>
      <c r="U215" s="26"/>
    </row>
    <row r="216" spans="1:21" hidden="1" x14ac:dyDescent="0.25">
      <c r="A216" s="16" t="s">
        <v>37</v>
      </c>
      <c r="B216" s="16" t="s">
        <v>257</v>
      </c>
      <c r="C216" s="16" t="s">
        <v>258</v>
      </c>
      <c r="D216" s="16" t="s">
        <v>100</v>
      </c>
      <c r="E216" s="16" t="s">
        <v>101</v>
      </c>
      <c r="F216" s="16" t="s">
        <v>150</v>
      </c>
      <c r="G216" s="16" t="s">
        <v>151</v>
      </c>
      <c r="H216" s="16" t="s">
        <v>85</v>
      </c>
      <c r="I216" s="16" t="s">
        <v>40</v>
      </c>
      <c r="J216" s="16" t="s">
        <v>285</v>
      </c>
      <c r="K216" s="16" t="s">
        <v>286</v>
      </c>
      <c r="L216" s="15">
        <v>-7663.1301810000004</v>
      </c>
      <c r="M216" s="15">
        <v>-5997.4810440000001</v>
      </c>
      <c r="N216" s="15">
        <v>-2920.6266059999998</v>
      </c>
      <c r="O216" s="15">
        <v>-4742.5035750000006</v>
      </c>
      <c r="P216" s="15">
        <f>O216</f>
        <v>-4742.5035750000006</v>
      </c>
      <c r="Q216" s="15">
        <f t="shared" si="11"/>
        <v>1327.1405909999985</v>
      </c>
      <c r="R216" s="15">
        <v>-6069.6441659999991</v>
      </c>
      <c r="S216" s="15">
        <f t="shared" si="12"/>
        <v>-4742.5035750000006</v>
      </c>
      <c r="T216" s="16"/>
      <c r="U216" s="26"/>
    </row>
    <row r="217" spans="1:21" hidden="1" x14ac:dyDescent="0.25">
      <c r="A217" s="16" t="s">
        <v>37</v>
      </c>
      <c r="B217" s="16" t="s">
        <v>257</v>
      </c>
      <c r="C217" s="16" t="s">
        <v>258</v>
      </c>
      <c r="D217" s="16" t="s">
        <v>100</v>
      </c>
      <c r="E217" s="16" t="s">
        <v>101</v>
      </c>
      <c r="F217" s="16" t="s">
        <v>150</v>
      </c>
      <c r="G217" s="16" t="s">
        <v>151</v>
      </c>
      <c r="H217" s="16" t="s">
        <v>85</v>
      </c>
      <c r="I217" s="16" t="s">
        <v>40</v>
      </c>
      <c r="J217" s="16" t="s">
        <v>142</v>
      </c>
      <c r="K217" s="16" t="s">
        <v>143</v>
      </c>
      <c r="L217" s="15">
        <v>-4258.0300000000007</v>
      </c>
      <c r="M217" s="15">
        <v>0</v>
      </c>
      <c r="N217" s="15">
        <v>0</v>
      </c>
      <c r="O217" s="15">
        <v>-4258.0300000000007</v>
      </c>
      <c r="P217" s="15">
        <v>-4258.0300000000007</v>
      </c>
      <c r="Q217" s="15">
        <f t="shared" si="11"/>
        <v>-4258.0300000000007</v>
      </c>
      <c r="R217" s="15">
        <v>0</v>
      </c>
      <c r="S217" s="15">
        <f t="shared" si="12"/>
        <v>-4258.0300000000007</v>
      </c>
      <c r="T217" s="16"/>
      <c r="U217" s="26"/>
    </row>
    <row r="218" spans="1:21" x14ac:dyDescent="0.25">
      <c r="A218" s="16" t="s">
        <v>37</v>
      </c>
      <c r="B218" s="16" t="s">
        <v>269</v>
      </c>
      <c r="C218" s="16" t="s">
        <v>270</v>
      </c>
      <c r="D218" s="16" t="s">
        <v>100</v>
      </c>
      <c r="E218" s="16" t="s">
        <v>101</v>
      </c>
      <c r="F218" s="16" t="s">
        <v>150</v>
      </c>
      <c r="G218" s="16" t="s">
        <v>151</v>
      </c>
      <c r="H218" s="16" t="s">
        <v>85</v>
      </c>
      <c r="I218" s="16" t="s">
        <v>40</v>
      </c>
      <c r="J218" s="16" t="s">
        <v>130</v>
      </c>
      <c r="K218" s="16" t="s">
        <v>131</v>
      </c>
      <c r="L218" s="15">
        <v>-4177.2000000144217</v>
      </c>
      <c r="M218" s="15">
        <v>-4177.2000000144217</v>
      </c>
      <c r="N218" s="15">
        <v>0</v>
      </c>
      <c r="O218" s="15">
        <v>-4177.2000000144217</v>
      </c>
      <c r="P218" s="15">
        <v>-4177.2000000144217</v>
      </c>
      <c r="Q218" s="15">
        <f t="shared" si="11"/>
        <v>-4177.2000000144217</v>
      </c>
      <c r="R218" s="15">
        <v>0</v>
      </c>
      <c r="S218" s="15">
        <f t="shared" si="12"/>
        <v>-4177.2000000144217</v>
      </c>
      <c r="T218" s="16"/>
      <c r="U218" s="16"/>
    </row>
    <row r="219" spans="1:21" hidden="1" x14ac:dyDescent="0.25">
      <c r="A219" s="16" t="s">
        <v>37</v>
      </c>
      <c r="B219" s="16" t="s">
        <v>257</v>
      </c>
      <c r="C219" s="16" t="s">
        <v>258</v>
      </c>
      <c r="D219" s="16" t="s">
        <v>100</v>
      </c>
      <c r="E219" s="16" t="s">
        <v>101</v>
      </c>
      <c r="F219" s="16" t="s">
        <v>150</v>
      </c>
      <c r="G219" s="16" t="s">
        <v>151</v>
      </c>
      <c r="H219" s="16" t="s">
        <v>85</v>
      </c>
      <c r="I219" s="16" t="s">
        <v>40</v>
      </c>
      <c r="J219" s="16" t="s">
        <v>296</v>
      </c>
      <c r="K219" s="16" t="s">
        <v>297</v>
      </c>
      <c r="L219" s="15">
        <v>-3368.6049847886998</v>
      </c>
      <c r="M219" s="15">
        <v>-954.01709654999979</v>
      </c>
      <c r="N219" s="15">
        <v>-3225.3397880000002</v>
      </c>
      <c r="O219" s="15">
        <v>-143.26519678869965</v>
      </c>
      <c r="P219" s="15">
        <v>-143.26519678869965</v>
      </c>
      <c r="Q219" s="15">
        <f t="shared" si="11"/>
        <v>-143.26519678869965</v>
      </c>
      <c r="R219" s="15">
        <v>0</v>
      </c>
      <c r="S219" s="15">
        <f t="shared" si="12"/>
        <v>-143.26519678869965</v>
      </c>
      <c r="T219" s="16"/>
      <c r="U219" s="26"/>
    </row>
    <row r="220" spans="1:21" x14ac:dyDescent="0.25">
      <c r="A220" s="16" t="s">
        <v>37</v>
      </c>
      <c r="B220" s="16" t="s">
        <v>269</v>
      </c>
      <c r="C220" s="16" t="s">
        <v>270</v>
      </c>
      <c r="D220" s="16" t="s">
        <v>100</v>
      </c>
      <c r="E220" s="16" t="s">
        <v>101</v>
      </c>
      <c r="F220" s="16" t="s">
        <v>150</v>
      </c>
      <c r="G220" s="16" t="s">
        <v>151</v>
      </c>
      <c r="H220" s="16" t="s">
        <v>85</v>
      </c>
      <c r="I220" s="16" t="s">
        <v>40</v>
      </c>
      <c r="J220" s="16" t="s">
        <v>124</v>
      </c>
      <c r="K220" s="16" t="s">
        <v>125</v>
      </c>
      <c r="L220" s="15">
        <v>-437.54948073617271</v>
      </c>
      <c r="M220" s="15">
        <v>0</v>
      </c>
      <c r="N220" s="15">
        <v>-317.11999999999978</v>
      </c>
      <c r="O220" s="15">
        <v>-120.42948073617296</v>
      </c>
      <c r="P220" s="15">
        <v>0</v>
      </c>
      <c r="Q220" s="15">
        <f t="shared" si="11"/>
        <v>0</v>
      </c>
      <c r="R220" s="15">
        <v>0</v>
      </c>
      <c r="S220" s="15">
        <f t="shared" si="12"/>
        <v>0</v>
      </c>
      <c r="T220" s="16"/>
      <c r="U220" s="16"/>
    </row>
    <row r="221" spans="1:21" hidden="1" x14ac:dyDescent="0.25">
      <c r="A221" s="16" t="s">
        <v>37</v>
      </c>
      <c r="B221" s="16" t="s">
        <v>265</v>
      </c>
      <c r="C221" s="16" t="s">
        <v>266</v>
      </c>
      <c r="D221" s="16" t="s">
        <v>100</v>
      </c>
      <c r="E221" s="16" t="s">
        <v>101</v>
      </c>
      <c r="F221" s="16" t="s">
        <v>150</v>
      </c>
      <c r="G221" s="16" t="s">
        <v>151</v>
      </c>
      <c r="H221" s="16" t="s">
        <v>85</v>
      </c>
      <c r="I221" s="16" t="s">
        <v>40</v>
      </c>
      <c r="J221" s="16" t="s">
        <v>124</v>
      </c>
      <c r="K221" s="16" t="s">
        <v>125</v>
      </c>
      <c r="L221" s="15">
        <v>-71972.876027279854</v>
      </c>
      <c r="M221" s="15">
        <v>0</v>
      </c>
      <c r="N221" s="15">
        <v>-57592.170053642207</v>
      </c>
      <c r="O221" s="15">
        <v>-14380.705973637661</v>
      </c>
      <c r="P221" s="15">
        <v>0</v>
      </c>
      <c r="Q221" s="15">
        <f t="shared" si="11"/>
        <v>0</v>
      </c>
      <c r="R221" s="15">
        <v>0</v>
      </c>
      <c r="S221" s="15">
        <f t="shared" si="12"/>
        <v>0</v>
      </c>
      <c r="T221" s="16"/>
      <c r="U221" s="16"/>
    </row>
    <row r="222" spans="1:21" hidden="1" x14ac:dyDescent="0.25">
      <c r="A222" s="16" t="s">
        <v>37</v>
      </c>
      <c r="B222" s="16" t="s">
        <v>257</v>
      </c>
      <c r="C222" s="16" t="s">
        <v>258</v>
      </c>
      <c r="D222" s="16" t="s">
        <v>100</v>
      </c>
      <c r="E222" s="16" t="s">
        <v>101</v>
      </c>
      <c r="F222" s="16" t="s">
        <v>150</v>
      </c>
      <c r="G222" s="16" t="s">
        <v>151</v>
      </c>
      <c r="H222" s="16" t="s">
        <v>85</v>
      </c>
      <c r="I222" s="16" t="s">
        <v>40</v>
      </c>
      <c r="J222" s="16" t="s">
        <v>124</v>
      </c>
      <c r="K222" s="16" t="s">
        <v>125</v>
      </c>
      <c r="L222" s="15">
        <v>-71.282699999999991</v>
      </c>
      <c r="M222" s="15">
        <v>0</v>
      </c>
      <c r="N222" s="15">
        <v>-53.957364000000005</v>
      </c>
      <c r="O222" s="15">
        <v>-17.325335999999986</v>
      </c>
      <c r="P222" s="15">
        <v>0</v>
      </c>
      <c r="Q222" s="15">
        <f t="shared" si="11"/>
        <v>0</v>
      </c>
      <c r="R222" s="15">
        <v>0</v>
      </c>
      <c r="S222" s="15">
        <f t="shared" si="12"/>
        <v>0</v>
      </c>
      <c r="T222" s="16"/>
      <c r="U222" s="26"/>
    </row>
    <row r="223" spans="1:21" hidden="1" x14ac:dyDescent="0.25">
      <c r="A223" s="16" t="s">
        <v>37</v>
      </c>
      <c r="B223" s="16" t="s">
        <v>257</v>
      </c>
      <c r="C223" s="16" t="s">
        <v>258</v>
      </c>
      <c r="D223" s="16" t="s">
        <v>100</v>
      </c>
      <c r="E223" s="16" t="s">
        <v>101</v>
      </c>
      <c r="F223" s="16" t="s">
        <v>150</v>
      </c>
      <c r="G223" s="16" t="s">
        <v>151</v>
      </c>
      <c r="H223" s="16" t="s">
        <v>85</v>
      </c>
      <c r="I223" s="16" t="s">
        <v>40</v>
      </c>
      <c r="J223" s="16" t="s">
        <v>298</v>
      </c>
      <c r="K223" s="16" t="s">
        <v>299</v>
      </c>
      <c r="L223" s="15">
        <v>-4995.7724056200004</v>
      </c>
      <c r="M223" s="15">
        <v>-204.6063180000001</v>
      </c>
      <c r="N223" s="15">
        <v>-3169.145476445</v>
      </c>
      <c r="O223" s="15">
        <v>-1826.6269291750007</v>
      </c>
      <c r="P223" s="15">
        <v>-1826.6269291750007</v>
      </c>
      <c r="Q223" s="15">
        <f t="shared" si="11"/>
        <v>-1826.6269291750007</v>
      </c>
      <c r="R223" s="15">
        <v>0</v>
      </c>
      <c r="S223" s="15">
        <f t="shared" si="12"/>
        <v>-1826.6269291750007</v>
      </c>
      <c r="T223" s="16"/>
      <c r="U223" s="26"/>
    </row>
    <row r="224" spans="1:21" x14ac:dyDescent="0.25">
      <c r="A224" s="16" t="s">
        <v>37</v>
      </c>
      <c r="B224" s="16" t="s">
        <v>269</v>
      </c>
      <c r="C224" s="16" t="s">
        <v>270</v>
      </c>
      <c r="D224" s="16" t="s">
        <v>100</v>
      </c>
      <c r="E224" s="16" t="s">
        <v>101</v>
      </c>
      <c r="F224" s="16" t="s">
        <v>150</v>
      </c>
      <c r="G224" s="16" t="s">
        <v>151</v>
      </c>
      <c r="H224" s="16" t="s">
        <v>85</v>
      </c>
      <c r="I224" s="16" t="s">
        <v>40</v>
      </c>
      <c r="J224" s="16" t="s">
        <v>132</v>
      </c>
      <c r="K224" s="16" t="s">
        <v>133</v>
      </c>
      <c r="L224" s="15">
        <v>-9732.6702180645443</v>
      </c>
      <c r="M224" s="15">
        <v>-9732.6702180645443</v>
      </c>
      <c r="N224" s="15">
        <v>-9732.6699982250157</v>
      </c>
      <c r="O224" s="15">
        <v>-2.1983952956361463E-4</v>
      </c>
      <c r="P224" s="15">
        <v>0</v>
      </c>
      <c r="Q224" s="15">
        <f t="shared" si="11"/>
        <v>0</v>
      </c>
      <c r="R224" s="15">
        <v>0</v>
      </c>
      <c r="S224" s="15">
        <f t="shared" si="12"/>
        <v>0</v>
      </c>
      <c r="T224" s="16"/>
      <c r="U224" s="16"/>
    </row>
    <row r="225" spans="1:21" x14ac:dyDescent="0.25">
      <c r="A225" s="16" t="s">
        <v>37</v>
      </c>
      <c r="B225" s="16" t="s">
        <v>269</v>
      </c>
      <c r="C225" s="16" t="s">
        <v>270</v>
      </c>
      <c r="D225" s="16" t="s">
        <v>100</v>
      </c>
      <c r="E225" s="16" t="s">
        <v>101</v>
      </c>
      <c r="F225" s="16" t="s">
        <v>150</v>
      </c>
      <c r="G225" s="16" t="s">
        <v>151</v>
      </c>
      <c r="H225" s="16" t="s">
        <v>85</v>
      </c>
      <c r="I225" s="16" t="s">
        <v>40</v>
      </c>
      <c r="J225" s="16" t="s">
        <v>64</v>
      </c>
      <c r="K225" s="16" t="s">
        <v>65</v>
      </c>
      <c r="L225" s="15">
        <v>-23328.731160813026</v>
      </c>
      <c r="M225" s="15">
        <v>0</v>
      </c>
      <c r="N225" s="15">
        <v>-21828.729965410221</v>
      </c>
      <c r="O225" s="15">
        <v>-1500.0011954028002</v>
      </c>
      <c r="P225" s="15">
        <v>-1500.0011954028002</v>
      </c>
      <c r="Q225" s="15">
        <f t="shared" si="11"/>
        <v>-1500.0011954028002</v>
      </c>
      <c r="R225" s="15">
        <v>0</v>
      </c>
      <c r="S225" s="15">
        <f t="shared" si="12"/>
        <v>-1500.0011954028002</v>
      </c>
      <c r="T225" s="16"/>
      <c r="U225" s="16"/>
    </row>
    <row r="226" spans="1:21" x14ac:dyDescent="0.25">
      <c r="A226" s="16" t="s">
        <v>37</v>
      </c>
      <c r="B226" s="16" t="s">
        <v>269</v>
      </c>
      <c r="C226" s="16" t="s">
        <v>270</v>
      </c>
      <c r="D226" s="16" t="s">
        <v>100</v>
      </c>
      <c r="E226" s="16" t="s">
        <v>101</v>
      </c>
      <c r="F226" s="16" t="s">
        <v>150</v>
      </c>
      <c r="G226" s="16" t="s">
        <v>151</v>
      </c>
      <c r="H226" s="16" t="s">
        <v>85</v>
      </c>
      <c r="I226" s="16" t="s">
        <v>40</v>
      </c>
      <c r="J226" s="16" t="s">
        <v>66</v>
      </c>
      <c r="K226" s="16" t="s">
        <v>63</v>
      </c>
      <c r="L226" s="15">
        <v>-8781.4482000692387</v>
      </c>
      <c r="M226" s="15">
        <v>-8781.4482000692387</v>
      </c>
      <c r="N226" s="15">
        <v>-8781.449992554124</v>
      </c>
      <c r="O226" s="15">
        <v>1.7924848862094223E-3</v>
      </c>
      <c r="P226" s="15">
        <v>0</v>
      </c>
      <c r="Q226" s="15">
        <f t="shared" si="11"/>
        <v>0</v>
      </c>
      <c r="R226" s="15">
        <v>0</v>
      </c>
      <c r="S226" s="15">
        <f t="shared" si="12"/>
        <v>0</v>
      </c>
      <c r="T226" s="16"/>
      <c r="U226" s="16"/>
    </row>
    <row r="227" spans="1:21" hidden="1" x14ac:dyDescent="0.25">
      <c r="A227" s="16" t="s">
        <v>37</v>
      </c>
      <c r="B227" s="16" t="s">
        <v>257</v>
      </c>
      <c r="C227" s="16" t="s">
        <v>258</v>
      </c>
      <c r="D227" s="16" t="s">
        <v>100</v>
      </c>
      <c r="E227" s="16" t="s">
        <v>101</v>
      </c>
      <c r="F227" s="16" t="s">
        <v>150</v>
      </c>
      <c r="G227" s="16" t="s">
        <v>151</v>
      </c>
      <c r="H227" s="16" t="s">
        <v>85</v>
      </c>
      <c r="I227" s="16" t="s">
        <v>40</v>
      </c>
      <c r="J227" s="16" t="s">
        <v>67</v>
      </c>
      <c r="K227" s="16" t="s">
        <v>68</v>
      </c>
      <c r="L227" s="15">
        <v>-2820</v>
      </c>
      <c r="M227" s="15">
        <v>0</v>
      </c>
      <c r="N227" s="15">
        <v>0</v>
      </c>
      <c r="O227" s="15">
        <v>-2820</v>
      </c>
      <c r="P227" s="15">
        <v>-2820</v>
      </c>
      <c r="Q227" s="15">
        <f t="shared" si="11"/>
        <v>-2820</v>
      </c>
      <c r="R227" s="15">
        <v>0</v>
      </c>
      <c r="S227" s="15">
        <f t="shared" si="12"/>
        <v>-2820</v>
      </c>
      <c r="T227" s="16"/>
      <c r="U227" s="26"/>
    </row>
    <row r="228" spans="1:21" x14ac:dyDescent="0.25">
      <c r="A228" s="16" t="s">
        <v>37</v>
      </c>
      <c r="B228" s="16" t="s">
        <v>269</v>
      </c>
      <c r="C228" s="16" t="s">
        <v>270</v>
      </c>
      <c r="D228" s="16" t="s">
        <v>100</v>
      </c>
      <c r="E228" s="16" t="s">
        <v>101</v>
      </c>
      <c r="F228" s="16" t="s">
        <v>150</v>
      </c>
      <c r="G228" s="16" t="s">
        <v>151</v>
      </c>
      <c r="H228" s="16" t="s">
        <v>85</v>
      </c>
      <c r="I228" s="16" t="s">
        <v>40</v>
      </c>
      <c r="J228" s="16" t="s">
        <v>69</v>
      </c>
      <c r="K228" s="16" t="s">
        <v>70</v>
      </c>
      <c r="L228" s="15">
        <v>-323.46823602022323</v>
      </c>
      <c r="M228" s="15">
        <v>-323.46823602022323</v>
      </c>
      <c r="N228" s="15">
        <v>-323.46999942601292</v>
      </c>
      <c r="O228" s="15">
        <v>1.7634057897666366E-3</v>
      </c>
      <c r="P228" s="15">
        <v>0</v>
      </c>
      <c r="Q228" s="15">
        <f t="shared" si="11"/>
        <v>0</v>
      </c>
      <c r="R228" s="15">
        <v>0</v>
      </c>
      <c r="S228" s="15">
        <f t="shared" si="12"/>
        <v>0</v>
      </c>
      <c r="T228" s="16"/>
      <c r="U228" s="15">
        <f t="shared" ref="U228:U229" si="14">O228</f>
        <v>1.7634057897666366E-3</v>
      </c>
    </row>
    <row r="229" spans="1:21" hidden="1" x14ac:dyDescent="0.25">
      <c r="A229" s="16" t="s">
        <v>37</v>
      </c>
      <c r="B229" s="16" t="s">
        <v>257</v>
      </c>
      <c r="C229" s="16" t="s">
        <v>258</v>
      </c>
      <c r="D229" s="16" t="s">
        <v>100</v>
      </c>
      <c r="E229" s="16" t="s">
        <v>101</v>
      </c>
      <c r="F229" s="16" t="s">
        <v>150</v>
      </c>
      <c r="G229" s="16" t="s">
        <v>151</v>
      </c>
      <c r="H229" s="16" t="s">
        <v>85</v>
      </c>
      <c r="I229" s="16" t="s">
        <v>40</v>
      </c>
      <c r="J229" s="16" t="s">
        <v>69</v>
      </c>
      <c r="K229" s="16" t="s">
        <v>70</v>
      </c>
      <c r="L229" s="15">
        <v>-1881.2202</v>
      </c>
      <c r="M229" s="15">
        <v>-1881.2202</v>
      </c>
      <c r="N229" s="15">
        <v>-1857.4115940000002</v>
      </c>
      <c r="O229" s="15">
        <v>-23.808605999999699</v>
      </c>
      <c r="P229" s="15">
        <v>0</v>
      </c>
      <c r="Q229" s="15">
        <f t="shared" si="11"/>
        <v>0</v>
      </c>
      <c r="R229" s="15">
        <v>0</v>
      </c>
      <c r="S229" s="15">
        <f t="shared" si="12"/>
        <v>0</v>
      </c>
      <c r="T229" s="16"/>
      <c r="U229" s="15">
        <f t="shared" si="14"/>
        <v>-23.808605999999699</v>
      </c>
    </row>
    <row r="230" spans="1:21" hidden="1" x14ac:dyDescent="0.25">
      <c r="A230" s="16" t="s">
        <v>37</v>
      </c>
      <c r="B230" s="16" t="s">
        <v>257</v>
      </c>
      <c r="C230" s="16" t="s">
        <v>258</v>
      </c>
      <c r="D230" s="16" t="s">
        <v>100</v>
      </c>
      <c r="E230" s="16" t="s">
        <v>101</v>
      </c>
      <c r="F230" s="16" t="s">
        <v>150</v>
      </c>
      <c r="G230" s="16" t="s">
        <v>151</v>
      </c>
      <c r="H230" s="16" t="s">
        <v>85</v>
      </c>
      <c r="I230" s="16" t="s">
        <v>40</v>
      </c>
      <c r="J230" s="16" t="s">
        <v>136</v>
      </c>
      <c r="K230" s="16" t="s">
        <v>137</v>
      </c>
      <c r="L230" s="15">
        <v>-21618.400000000012</v>
      </c>
      <c r="M230" s="15">
        <v>0</v>
      </c>
      <c r="N230" s="15">
        <v>-21618.400000000009</v>
      </c>
      <c r="O230" s="15">
        <v>-3.637978807091713E-12</v>
      </c>
      <c r="P230" s="15">
        <v>-3.637978807091713E-12</v>
      </c>
      <c r="Q230" s="15">
        <f t="shared" si="11"/>
        <v>-3.637978807091713E-12</v>
      </c>
      <c r="R230" s="15">
        <v>0</v>
      </c>
      <c r="S230" s="15">
        <f t="shared" si="12"/>
        <v>-3.637978807091713E-12</v>
      </c>
      <c r="T230" s="16"/>
      <c r="U230" s="26"/>
    </row>
    <row r="231" spans="1:21" hidden="1" x14ac:dyDescent="0.25">
      <c r="A231" s="16" t="s">
        <v>37</v>
      </c>
      <c r="B231" s="16" t="s">
        <v>265</v>
      </c>
      <c r="C231" s="16" t="s">
        <v>266</v>
      </c>
      <c r="D231" s="16" t="s">
        <v>100</v>
      </c>
      <c r="E231" s="16" t="s">
        <v>101</v>
      </c>
      <c r="F231" s="16" t="s">
        <v>150</v>
      </c>
      <c r="G231" s="16" t="s">
        <v>151</v>
      </c>
      <c r="H231" s="16" t="s">
        <v>85</v>
      </c>
      <c r="I231" s="16" t="s">
        <v>40</v>
      </c>
      <c r="J231" s="16" t="s">
        <v>138</v>
      </c>
      <c r="K231" s="16" t="s">
        <v>139</v>
      </c>
      <c r="L231" s="15">
        <v>-794.82336849304261</v>
      </c>
      <c r="M231" s="15">
        <v>0</v>
      </c>
      <c r="N231" s="15">
        <v>-794.82336849304261</v>
      </c>
      <c r="O231" s="15">
        <v>5.6843418860808015E-14</v>
      </c>
      <c r="P231" s="15">
        <v>0</v>
      </c>
      <c r="Q231" s="15">
        <f t="shared" si="11"/>
        <v>0</v>
      </c>
      <c r="R231" s="15">
        <v>0</v>
      </c>
      <c r="S231" s="15">
        <f t="shared" si="12"/>
        <v>0</v>
      </c>
      <c r="T231" s="16"/>
      <c r="U231" s="16"/>
    </row>
    <row r="232" spans="1:21" hidden="1" x14ac:dyDescent="0.25">
      <c r="A232" s="16" t="s">
        <v>37</v>
      </c>
      <c r="B232" s="16" t="s">
        <v>265</v>
      </c>
      <c r="C232" s="16" t="s">
        <v>266</v>
      </c>
      <c r="D232" s="16" t="s">
        <v>100</v>
      </c>
      <c r="E232" s="16" t="s">
        <v>101</v>
      </c>
      <c r="F232" s="16" t="s">
        <v>152</v>
      </c>
      <c r="G232" s="16" t="s">
        <v>153</v>
      </c>
      <c r="H232" s="16" t="s">
        <v>85</v>
      </c>
      <c r="I232" s="16" t="s">
        <v>40</v>
      </c>
      <c r="J232" s="16" t="s">
        <v>38</v>
      </c>
      <c r="K232" s="16" t="s">
        <v>293</v>
      </c>
      <c r="L232" s="15">
        <v>-1829082.8456786238</v>
      </c>
      <c r="M232" s="15">
        <v>-77699.741581296083</v>
      </c>
      <c r="N232" s="15">
        <v>-1678997.8264354237</v>
      </c>
      <c r="O232" s="15">
        <v>-150085.01924319984</v>
      </c>
      <c r="P232" s="15">
        <v>-150085.01924319984</v>
      </c>
      <c r="Q232" s="15">
        <f t="shared" si="11"/>
        <v>-150085.01924319984</v>
      </c>
      <c r="R232" s="15">
        <v>0</v>
      </c>
      <c r="S232" s="15">
        <f t="shared" si="12"/>
        <v>-150085.01924319984</v>
      </c>
      <c r="T232" s="16"/>
      <c r="U232" s="16"/>
    </row>
    <row r="233" spans="1:21" hidden="1" x14ac:dyDescent="0.25">
      <c r="A233" s="16" t="s">
        <v>37</v>
      </c>
      <c r="B233" s="16" t="s">
        <v>261</v>
      </c>
      <c r="C233" s="16" t="s">
        <v>262</v>
      </c>
      <c r="D233" s="16" t="s">
        <v>100</v>
      </c>
      <c r="E233" s="16" t="s">
        <v>101</v>
      </c>
      <c r="F233" s="16" t="s">
        <v>152</v>
      </c>
      <c r="G233" s="16" t="s">
        <v>153</v>
      </c>
      <c r="H233" s="16" t="s">
        <v>85</v>
      </c>
      <c r="I233" s="16" t="s">
        <v>40</v>
      </c>
      <c r="J233" s="16" t="s">
        <v>38</v>
      </c>
      <c r="K233" s="16" t="s">
        <v>293</v>
      </c>
      <c r="L233" s="15">
        <v>-746803.93842890649</v>
      </c>
      <c r="M233" s="15">
        <v>-223976.67003999994</v>
      </c>
      <c r="N233" s="15">
        <v>-567660.53361837589</v>
      </c>
      <c r="O233" s="15">
        <v>-179143.40481053063</v>
      </c>
      <c r="P233" s="15">
        <v>-179143.40481053063</v>
      </c>
      <c r="Q233" s="15">
        <f t="shared" si="11"/>
        <v>-179143.40481053063</v>
      </c>
      <c r="R233" s="15">
        <v>0</v>
      </c>
      <c r="S233" s="15">
        <f t="shared" si="12"/>
        <v>-179143.40481053063</v>
      </c>
      <c r="T233" s="16"/>
      <c r="U233" s="16"/>
    </row>
    <row r="234" spans="1:21" x14ac:dyDescent="0.25">
      <c r="A234" s="16" t="s">
        <v>37</v>
      </c>
      <c r="B234" s="16" t="s">
        <v>269</v>
      </c>
      <c r="C234" s="16" t="s">
        <v>270</v>
      </c>
      <c r="D234" s="16" t="s">
        <v>100</v>
      </c>
      <c r="E234" s="16" t="s">
        <v>101</v>
      </c>
      <c r="F234" s="16" t="s">
        <v>152</v>
      </c>
      <c r="G234" s="16" t="s">
        <v>153</v>
      </c>
      <c r="H234" s="16" t="s">
        <v>85</v>
      </c>
      <c r="I234" s="16" t="s">
        <v>40</v>
      </c>
      <c r="J234" s="16" t="s">
        <v>38</v>
      </c>
      <c r="K234" s="16" t="s">
        <v>293</v>
      </c>
      <c r="L234" s="15">
        <v>-363379.75326868257</v>
      </c>
      <c r="M234" s="15">
        <v>-29823.783966945608</v>
      </c>
      <c r="N234" s="15">
        <v>-359047.74566667841</v>
      </c>
      <c r="O234" s="15">
        <v>-4332.0076020042325</v>
      </c>
      <c r="P234" s="15">
        <v>-4332.0076020042325</v>
      </c>
      <c r="Q234" s="15">
        <f>P234-R234+4332</f>
        <v>-7.6020042324671522E-3</v>
      </c>
      <c r="R234" s="15">
        <v>0</v>
      </c>
      <c r="S234" s="15">
        <f t="shared" si="12"/>
        <v>-7.6020042324671522E-3</v>
      </c>
      <c r="T234" s="16"/>
      <c r="U234" s="16"/>
    </row>
    <row r="235" spans="1:21" hidden="1" x14ac:dyDescent="0.25">
      <c r="A235" s="16" t="s">
        <v>37</v>
      </c>
      <c r="B235" s="16" t="s">
        <v>257</v>
      </c>
      <c r="C235" s="16" t="s">
        <v>258</v>
      </c>
      <c r="D235" s="16" t="s">
        <v>100</v>
      </c>
      <c r="E235" s="16" t="s">
        <v>101</v>
      </c>
      <c r="F235" s="16" t="s">
        <v>152</v>
      </c>
      <c r="G235" s="16" t="s">
        <v>153</v>
      </c>
      <c r="H235" s="16" t="s">
        <v>85</v>
      </c>
      <c r="I235" s="16" t="s">
        <v>40</v>
      </c>
      <c r="J235" s="16" t="s">
        <v>38</v>
      </c>
      <c r="K235" s="16" t="s">
        <v>293</v>
      </c>
      <c r="L235" s="15">
        <v>-1481090.3239296242</v>
      </c>
      <c r="M235" s="15">
        <v>-235722.59876561217</v>
      </c>
      <c r="N235" s="15">
        <v>-964339.42451607459</v>
      </c>
      <c r="O235" s="15">
        <v>-516750.89941354992</v>
      </c>
      <c r="P235" s="15">
        <v>-516750.89941354992</v>
      </c>
      <c r="Q235" s="15">
        <f>P235-R235+P234</f>
        <v>-521082.90701555414</v>
      </c>
      <c r="R235" s="15">
        <v>0</v>
      </c>
      <c r="S235" s="15">
        <f t="shared" si="12"/>
        <v>-521082.90701555414</v>
      </c>
      <c r="T235" s="16"/>
      <c r="U235" s="26"/>
    </row>
    <row r="236" spans="1:21" hidden="1" x14ac:dyDescent="0.25">
      <c r="A236" s="16" t="s">
        <v>37</v>
      </c>
      <c r="B236" s="16" t="s">
        <v>257</v>
      </c>
      <c r="C236" s="16" t="s">
        <v>258</v>
      </c>
      <c r="D236" s="16" t="s">
        <v>100</v>
      </c>
      <c r="E236" s="16" t="s">
        <v>101</v>
      </c>
      <c r="F236" s="16" t="s">
        <v>152</v>
      </c>
      <c r="G236" s="16" t="s">
        <v>153</v>
      </c>
      <c r="H236" s="16" t="s">
        <v>85</v>
      </c>
      <c r="I236" s="16" t="s">
        <v>40</v>
      </c>
      <c r="J236" s="16" t="s">
        <v>142</v>
      </c>
      <c r="K236" s="16" t="s">
        <v>143</v>
      </c>
      <c r="L236" s="15">
        <v>-4258.0300000000007</v>
      </c>
      <c r="M236" s="15">
        <v>0</v>
      </c>
      <c r="N236" s="15">
        <v>0</v>
      </c>
      <c r="O236" s="15">
        <v>-4258.0300000000007</v>
      </c>
      <c r="P236" s="15">
        <v>-4258.0300000000007</v>
      </c>
      <c r="Q236" s="15">
        <f t="shared" si="11"/>
        <v>-4258.0300000000007</v>
      </c>
      <c r="R236" s="15">
        <v>0</v>
      </c>
      <c r="S236" s="15">
        <f t="shared" si="12"/>
        <v>-4258.0300000000007</v>
      </c>
      <c r="T236" s="16"/>
      <c r="U236" s="26"/>
    </row>
    <row r="237" spans="1:21" x14ac:dyDescent="0.25">
      <c r="A237" s="16" t="s">
        <v>37</v>
      </c>
      <c r="B237" s="16" t="s">
        <v>269</v>
      </c>
      <c r="C237" s="16" t="s">
        <v>270</v>
      </c>
      <c r="D237" s="16" t="s">
        <v>100</v>
      </c>
      <c r="E237" s="16" t="s">
        <v>101</v>
      </c>
      <c r="F237" s="16" t="s">
        <v>152</v>
      </c>
      <c r="G237" s="16" t="s">
        <v>153</v>
      </c>
      <c r="H237" s="16" t="s">
        <v>85</v>
      </c>
      <c r="I237" s="16" t="s">
        <v>40</v>
      </c>
      <c r="J237" s="16" t="s">
        <v>130</v>
      </c>
      <c r="K237" s="16" t="s">
        <v>131</v>
      </c>
      <c r="L237" s="15">
        <v>-11544.270000039858</v>
      </c>
      <c r="M237" s="15">
        <v>-11544.270000039858</v>
      </c>
      <c r="N237" s="15">
        <v>0</v>
      </c>
      <c r="O237" s="15">
        <v>-11544.270000039858</v>
      </c>
      <c r="P237" s="15">
        <v>-11544.270000039858</v>
      </c>
      <c r="Q237" s="15">
        <f t="shared" si="11"/>
        <v>-11544.270000039858</v>
      </c>
      <c r="R237" s="15">
        <v>0</v>
      </c>
      <c r="S237" s="15">
        <f t="shared" si="12"/>
        <v>-11544.270000039858</v>
      </c>
      <c r="T237" s="16"/>
      <c r="U237" s="16"/>
    </row>
    <row r="238" spans="1:21" hidden="1" x14ac:dyDescent="0.25">
      <c r="A238" s="16" t="s">
        <v>37</v>
      </c>
      <c r="B238" s="16" t="s">
        <v>257</v>
      </c>
      <c r="C238" s="16" t="s">
        <v>258</v>
      </c>
      <c r="D238" s="16" t="s">
        <v>100</v>
      </c>
      <c r="E238" s="16" t="s">
        <v>101</v>
      </c>
      <c r="F238" s="16" t="s">
        <v>152</v>
      </c>
      <c r="G238" s="16" t="s">
        <v>153</v>
      </c>
      <c r="H238" s="16" t="s">
        <v>85</v>
      </c>
      <c r="I238" s="16" t="s">
        <v>40</v>
      </c>
      <c r="J238" s="16" t="s">
        <v>296</v>
      </c>
      <c r="K238" s="16" t="s">
        <v>297</v>
      </c>
      <c r="L238" s="15">
        <v>-839.23499958699995</v>
      </c>
      <c r="M238" s="15">
        <v>0</v>
      </c>
      <c r="N238" s="15">
        <v>-838.79391599999997</v>
      </c>
      <c r="O238" s="15">
        <v>-0.44108358699994454</v>
      </c>
      <c r="P238" s="15">
        <v>-0.44108358699994454</v>
      </c>
      <c r="Q238" s="15">
        <f t="shared" si="11"/>
        <v>-0.44108358699994454</v>
      </c>
      <c r="R238" s="15">
        <v>0</v>
      </c>
      <c r="S238" s="15">
        <f t="shared" si="12"/>
        <v>-0.44108358699994454</v>
      </c>
      <c r="T238" s="16"/>
      <c r="U238" s="26"/>
    </row>
    <row r="239" spans="1:21" x14ac:dyDescent="0.25">
      <c r="A239" s="16" t="s">
        <v>37</v>
      </c>
      <c r="B239" s="16" t="s">
        <v>269</v>
      </c>
      <c r="C239" s="16" t="s">
        <v>270</v>
      </c>
      <c r="D239" s="16" t="s">
        <v>100</v>
      </c>
      <c r="E239" s="16" t="s">
        <v>101</v>
      </c>
      <c r="F239" s="16" t="s">
        <v>152</v>
      </c>
      <c r="G239" s="16" t="s">
        <v>153</v>
      </c>
      <c r="H239" s="16" t="s">
        <v>85</v>
      </c>
      <c r="I239" s="16" t="s">
        <v>40</v>
      </c>
      <c r="J239" s="16" t="s">
        <v>124</v>
      </c>
      <c r="K239" s="16" t="s">
        <v>125</v>
      </c>
      <c r="L239" s="15">
        <v>-949.80248149742965</v>
      </c>
      <c r="M239" s="15">
        <v>0</v>
      </c>
      <c r="N239" s="15">
        <v>-673.51999999999941</v>
      </c>
      <c r="O239" s="15">
        <v>-276.2824814974303</v>
      </c>
      <c r="P239" s="15">
        <v>0</v>
      </c>
      <c r="Q239" s="15">
        <f t="shared" si="11"/>
        <v>0</v>
      </c>
      <c r="R239" s="15">
        <v>0</v>
      </c>
      <c r="S239" s="15">
        <f t="shared" si="12"/>
        <v>0</v>
      </c>
      <c r="T239" s="16"/>
      <c r="U239" s="16"/>
    </row>
    <row r="240" spans="1:21" hidden="1" x14ac:dyDescent="0.25">
      <c r="A240" s="16" t="s">
        <v>37</v>
      </c>
      <c r="B240" s="16" t="s">
        <v>265</v>
      </c>
      <c r="C240" s="16" t="s">
        <v>266</v>
      </c>
      <c r="D240" s="16" t="s">
        <v>100</v>
      </c>
      <c r="E240" s="16" t="s">
        <v>101</v>
      </c>
      <c r="F240" s="16" t="s">
        <v>152</v>
      </c>
      <c r="G240" s="16" t="s">
        <v>153</v>
      </c>
      <c r="H240" s="16" t="s">
        <v>85</v>
      </c>
      <c r="I240" s="16" t="s">
        <v>40</v>
      </c>
      <c r="J240" s="16" t="s">
        <v>124</v>
      </c>
      <c r="K240" s="16" t="s">
        <v>125</v>
      </c>
      <c r="L240" s="15">
        <v>-163562.81998895991</v>
      </c>
      <c r="M240" s="15">
        <v>0</v>
      </c>
      <c r="N240" s="15">
        <v>-130944.6944789043</v>
      </c>
      <c r="O240" s="15">
        <v>-32618.125510055565</v>
      </c>
      <c r="P240" s="15">
        <v>0</v>
      </c>
      <c r="Q240" s="15">
        <f t="shared" si="11"/>
        <v>0</v>
      </c>
      <c r="R240" s="15">
        <v>0</v>
      </c>
      <c r="S240" s="15">
        <f t="shared" si="12"/>
        <v>0</v>
      </c>
      <c r="T240" s="16"/>
      <c r="U240" s="16"/>
    </row>
    <row r="241" spans="1:21" hidden="1" x14ac:dyDescent="0.25">
      <c r="A241" s="16" t="s">
        <v>37</v>
      </c>
      <c r="B241" s="16" t="s">
        <v>261</v>
      </c>
      <c r="C241" s="16" t="s">
        <v>262</v>
      </c>
      <c r="D241" s="16" t="s">
        <v>100</v>
      </c>
      <c r="E241" s="16" t="s">
        <v>101</v>
      </c>
      <c r="F241" s="16" t="s">
        <v>152</v>
      </c>
      <c r="G241" s="16" t="s">
        <v>153</v>
      </c>
      <c r="H241" s="16" t="s">
        <v>85</v>
      </c>
      <c r="I241" s="16" t="s">
        <v>40</v>
      </c>
      <c r="J241" s="16" t="s">
        <v>124</v>
      </c>
      <c r="K241" s="16" t="s">
        <v>125</v>
      </c>
      <c r="L241" s="15">
        <v>-29334.954480409997</v>
      </c>
      <c r="M241" s="15">
        <v>0</v>
      </c>
      <c r="N241" s="15">
        <v>-26894.852676074399</v>
      </c>
      <c r="O241" s="15">
        <v>-2440.1018043355971</v>
      </c>
      <c r="P241" s="15">
        <v>0</v>
      </c>
      <c r="Q241" s="15">
        <f t="shared" si="11"/>
        <v>0</v>
      </c>
      <c r="R241" s="15">
        <v>0</v>
      </c>
      <c r="S241" s="15">
        <f t="shared" si="12"/>
        <v>0</v>
      </c>
      <c r="T241" s="16"/>
      <c r="U241" s="16"/>
    </row>
    <row r="242" spans="1:21" hidden="1" x14ac:dyDescent="0.25">
      <c r="A242" s="16" t="s">
        <v>37</v>
      </c>
      <c r="B242" s="16" t="s">
        <v>257</v>
      </c>
      <c r="C242" s="16" t="s">
        <v>258</v>
      </c>
      <c r="D242" s="16" t="s">
        <v>100</v>
      </c>
      <c r="E242" s="16" t="s">
        <v>101</v>
      </c>
      <c r="F242" s="16" t="s">
        <v>152</v>
      </c>
      <c r="G242" s="16" t="s">
        <v>153</v>
      </c>
      <c r="H242" s="16" t="s">
        <v>85</v>
      </c>
      <c r="I242" s="16" t="s">
        <v>40</v>
      </c>
      <c r="J242" s="16" t="s">
        <v>124</v>
      </c>
      <c r="K242" s="16" t="s">
        <v>125</v>
      </c>
      <c r="L242" s="15">
        <v>-64.138899999999992</v>
      </c>
      <c r="M242" s="15">
        <v>0</v>
      </c>
      <c r="N242" s="15">
        <v>-48.544533999999999</v>
      </c>
      <c r="O242" s="15">
        <v>-15.594365999999994</v>
      </c>
      <c r="P242" s="15">
        <v>0</v>
      </c>
      <c r="Q242" s="15">
        <f t="shared" si="11"/>
        <v>0</v>
      </c>
      <c r="R242" s="15">
        <v>0</v>
      </c>
      <c r="S242" s="15">
        <f t="shared" si="12"/>
        <v>0</v>
      </c>
      <c r="T242" s="16"/>
      <c r="U242" s="26"/>
    </row>
    <row r="243" spans="1:21" hidden="1" x14ac:dyDescent="0.25">
      <c r="A243" s="16" t="s">
        <v>37</v>
      </c>
      <c r="B243" s="16" t="s">
        <v>257</v>
      </c>
      <c r="C243" s="16" t="s">
        <v>258</v>
      </c>
      <c r="D243" s="16" t="s">
        <v>100</v>
      </c>
      <c r="E243" s="16" t="s">
        <v>101</v>
      </c>
      <c r="F243" s="16" t="s">
        <v>152</v>
      </c>
      <c r="G243" s="16" t="s">
        <v>153</v>
      </c>
      <c r="H243" s="16" t="s">
        <v>85</v>
      </c>
      <c r="I243" s="16" t="s">
        <v>40</v>
      </c>
      <c r="J243" s="16" t="s">
        <v>298</v>
      </c>
      <c r="K243" s="16" t="s">
        <v>299</v>
      </c>
      <c r="L243" s="15">
        <v>-7148.0240792800014</v>
      </c>
      <c r="M243" s="15">
        <v>-292.65119700000008</v>
      </c>
      <c r="N243" s="15">
        <v>-4536.3700868264004</v>
      </c>
      <c r="O243" s="15">
        <v>-2611.6539924536009</v>
      </c>
      <c r="P243" s="15">
        <v>-2611.6539924536009</v>
      </c>
      <c r="Q243" s="15">
        <f t="shared" si="11"/>
        <v>-2611.6539924536009</v>
      </c>
      <c r="R243" s="15">
        <v>0</v>
      </c>
      <c r="S243" s="15">
        <f t="shared" si="12"/>
        <v>-2611.6539924536009</v>
      </c>
      <c r="T243" s="16"/>
      <c r="U243" s="26"/>
    </row>
    <row r="244" spans="1:21" x14ac:dyDescent="0.25">
      <c r="A244" s="16" t="s">
        <v>37</v>
      </c>
      <c r="B244" s="16" t="s">
        <v>269</v>
      </c>
      <c r="C244" s="16" t="s">
        <v>270</v>
      </c>
      <c r="D244" s="16" t="s">
        <v>100</v>
      </c>
      <c r="E244" s="16" t="s">
        <v>101</v>
      </c>
      <c r="F244" s="16" t="s">
        <v>152</v>
      </c>
      <c r="G244" s="16" t="s">
        <v>153</v>
      </c>
      <c r="H244" s="16" t="s">
        <v>85</v>
      </c>
      <c r="I244" s="16" t="s">
        <v>40</v>
      </c>
      <c r="J244" s="16" t="s">
        <v>132</v>
      </c>
      <c r="K244" s="16" t="s">
        <v>133</v>
      </c>
      <c r="L244" s="15">
        <v>-29384.672839481922</v>
      </c>
      <c r="M244" s="15">
        <v>-29384.672839481922</v>
      </c>
      <c r="N244" s="15">
        <v>-29384.669994641008</v>
      </c>
      <c r="O244" s="15">
        <v>-2.8448409150314546E-3</v>
      </c>
      <c r="P244" s="15">
        <v>0</v>
      </c>
      <c r="Q244" s="15">
        <f t="shared" si="11"/>
        <v>0</v>
      </c>
      <c r="R244" s="15">
        <v>0</v>
      </c>
      <c r="S244" s="15">
        <f t="shared" si="12"/>
        <v>0</v>
      </c>
      <c r="T244" s="16"/>
      <c r="U244" s="16"/>
    </row>
    <row r="245" spans="1:21" x14ac:dyDescent="0.25">
      <c r="A245" s="16" t="s">
        <v>37</v>
      </c>
      <c r="B245" s="16" t="s">
        <v>269</v>
      </c>
      <c r="C245" s="16" t="s">
        <v>270</v>
      </c>
      <c r="D245" s="16" t="s">
        <v>100</v>
      </c>
      <c r="E245" s="16" t="s">
        <v>101</v>
      </c>
      <c r="F245" s="16" t="s">
        <v>152</v>
      </c>
      <c r="G245" s="16" t="s">
        <v>153</v>
      </c>
      <c r="H245" s="16" t="s">
        <v>85</v>
      </c>
      <c r="I245" s="16" t="s">
        <v>40</v>
      </c>
      <c r="J245" s="16" t="s">
        <v>64</v>
      </c>
      <c r="K245" s="16" t="s">
        <v>65</v>
      </c>
      <c r="L245" s="15">
        <v>-96748.544027452706</v>
      </c>
      <c r="M245" s="15">
        <v>0</v>
      </c>
      <c r="N245" s="15">
        <v>-50539.279919915512</v>
      </c>
      <c r="O245" s="15">
        <v>-46209.264107537194</v>
      </c>
      <c r="P245" s="15">
        <v>-46209.264107537194</v>
      </c>
      <c r="Q245" s="15">
        <f t="shared" si="11"/>
        <v>-46209.264107537194</v>
      </c>
      <c r="R245" s="15">
        <v>0</v>
      </c>
      <c r="S245" s="15">
        <f t="shared" si="12"/>
        <v>-46209.264107537194</v>
      </c>
      <c r="T245" s="16"/>
      <c r="U245" s="16"/>
    </row>
    <row r="246" spans="1:21" x14ac:dyDescent="0.25">
      <c r="A246" s="16" t="s">
        <v>37</v>
      </c>
      <c r="B246" s="16" t="s">
        <v>269</v>
      </c>
      <c r="C246" s="16" t="s">
        <v>270</v>
      </c>
      <c r="D246" s="16" t="s">
        <v>100</v>
      </c>
      <c r="E246" s="16" t="s">
        <v>101</v>
      </c>
      <c r="F246" s="16" t="s">
        <v>152</v>
      </c>
      <c r="G246" s="16" t="s">
        <v>153</v>
      </c>
      <c r="H246" s="16" t="s">
        <v>85</v>
      </c>
      <c r="I246" s="16" t="s">
        <v>40</v>
      </c>
      <c r="J246" s="16" t="s">
        <v>66</v>
      </c>
      <c r="K246" s="16" t="s">
        <v>63</v>
      </c>
      <c r="L246" s="15">
        <v>-82361.824552931721</v>
      </c>
      <c r="M246" s="15">
        <v>-82361.824552931721</v>
      </c>
      <c r="N246" s="15">
        <v>-82361.829930164589</v>
      </c>
      <c r="O246" s="15">
        <v>5.3772328683407977E-3</v>
      </c>
      <c r="P246" s="15">
        <v>0</v>
      </c>
      <c r="Q246" s="15">
        <f t="shared" si="11"/>
        <v>0</v>
      </c>
      <c r="R246" s="15">
        <v>0</v>
      </c>
      <c r="S246" s="15">
        <f t="shared" si="12"/>
        <v>0</v>
      </c>
      <c r="T246" s="16"/>
      <c r="U246" s="16"/>
    </row>
    <row r="247" spans="1:21" hidden="1" x14ac:dyDescent="0.25">
      <c r="A247" s="16" t="s">
        <v>37</v>
      </c>
      <c r="B247" s="16" t="s">
        <v>257</v>
      </c>
      <c r="C247" s="16" t="s">
        <v>258</v>
      </c>
      <c r="D247" s="16" t="s">
        <v>100</v>
      </c>
      <c r="E247" s="16" t="s">
        <v>101</v>
      </c>
      <c r="F247" s="16" t="s">
        <v>152</v>
      </c>
      <c r="G247" s="16" t="s">
        <v>153</v>
      </c>
      <c r="H247" s="16" t="s">
        <v>85</v>
      </c>
      <c r="I247" s="16" t="s">
        <v>40</v>
      </c>
      <c r="J247" s="16" t="s">
        <v>67</v>
      </c>
      <c r="K247" s="16" t="s">
        <v>68</v>
      </c>
      <c r="L247" s="15">
        <v>-4050</v>
      </c>
      <c r="M247" s="15">
        <v>0</v>
      </c>
      <c r="N247" s="15">
        <v>0</v>
      </c>
      <c r="O247" s="15">
        <v>-4050</v>
      </c>
      <c r="P247" s="15">
        <v>-4050</v>
      </c>
      <c r="Q247" s="15">
        <f t="shared" si="11"/>
        <v>-4050</v>
      </c>
      <c r="R247" s="15">
        <v>0</v>
      </c>
      <c r="S247" s="15">
        <f t="shared" si="12"/>
        <v>-4050</v>
      </c>
      <c r="T247" s="16"/>
      <c r="U247" s="26"/>
    </row>
    <row r="248" spans="1:21" x14ac:dyDescent="0.25">
      <c r="A248" s="16" t="s">
        <v>37</v>
      </c>
      <c r="B248" s="16" t="s">
        <v>269</v>
      </c>
      <c r="C248" s="16" t="s">
        <v>270</v>
      </c>
      <c r="D248" s="16" t="s">
        <v>100</v>
      </c>
      <c r="E248" s="16" t="s">
        <v>101</v>
      </c>
      <c r="F248" s="16" t="s">
        <v>152</v>
      </c>
      <c r="G248" s="16" t="s">
        <v>153</v>
      </c>
      <c r="H248" s="16" t="s">
        <v>85</v>
      </c>
      <c r="I248" s="16" t="s">
        <v>40</v>
      </c>
      <c r="J248" s="16" t="s">
        <v>69</v>
      </c>
      <c r="K248" s="16" t="s">
        <v>70</v>
      </c>
      <c r="L248" s="15">
        <v>-4559.4121186661223</v>
      </c>
      <c r="M248" s="15">
        <v>-4559.4121186661223</v>
      </c>
      <c r="N248" s="15">
        <v>-4559.3999919094931</v>
      </c>
      <c r="O248" s="15">
        <v>-1.2126756629015745E-2</v>
      </c>
      <c r="P248" s="15">
        <v>0</v>
      </c>
      <c r="Q248" s="15">
        <f t="shared" si="11"/>
        <v>0</v>
      </c>
      <c r="R248" s="15">
        <v>0</v>
      </c>
      <c r="S248" s="15">
        <f t="shared" si="12"/>
        <v>0</v>
      </c>
      <c r="T248" s="16"/>
      <c r="U248" s="15">
        <f t="shared" ref="U248:U250" si="15">O248</f>
        <v>-1.2126756629015745E-2</v>
      </c>
    </row>
    <row r="249" spans="1:21" hidden="1" x14ac:dyDescent="0.25">
      <c r="A249" s="16" t="s">
        <v>37</v>
      </c>
      <c r="B249" s="16" t="s">
        <v>261</v>
      </c>
      <c r="C249" s="16" t="s">
        <v>262</v>
      </c>
      <c r="D249" s="16" t="s">
        <v>100</v>
      </c>
      <c r="E249" s="16" t="s">
        <v>101</v>
      </c>
      <c r="F249" s="16" t="s">
        <v>152</v>
      </c>
      <c r="G249" s="16" t="s">
        <v>153</v>
      </c>
      <c r="H249" s="16" t="s">
        <v>85</v>
      </c>
      <c r="I249" s="16" t="s">
        <v>40</v>
      </c>
      <c r="J249" s="16" t="s">
        <v>69</v>
      </c>
      <c r="K249" s="16" t="s">
        <v>70</v>
      </c>
      <c r="L249" s="15">
        <v>-2614.499999441</v>
      </c>
      <c r="M249" s="15">
        <v>-2614.5</v>
      </c>
      <c r="N249" s="15">
        <v>-2792.2287000000001</v>
      </c>
      <c r="O249" s="15">
        <v>177.72870055899989</v>
      </c>
      <c r="P249" s="15">
        <v>0</v>
      </c>
      <c r="Q249" s="15">
        <f t="shared" si="11"/>
        <v>0</v>
      </c>
      <c r="R249" s="15">
        <v>0</v>
      </c>
      <c r="S249" s="15">
        <f t="shared" si="12"/>
        <v>0</v>
      </c>
      <c r="T249" s="16"/>
      <c r="U249" s="15">
        <f t="shared" si="15"/>
        <v>177.72870055899989</v>
      </c>
    </row>
    <row r="250" spans="1:21" hidden="1" x14ac:dyDescent="0.25">
      <c r="A250" s="16" t="s">
        <v>37</v>
      </c>
      <c r="B250" s="16" t="s">
        <v>257</v>
      </c>
      <c r="C250" s="16" t="s">
        <v>258</v>
      </c>
      <c r="D250" s="16" t="s">
        <v>100</v>
      </c>
      <c r="E250" s="16" t="s">
        <v>101</v>
      </c>
      <c r="F250" s="16" t="s">
        <v>152</v>
      </c>
      <c r="G250" s="16" t="s">
        <v>153</v>
      </c>
      <c r="H250" s="16" t="s">
        <v>85</v>
      </c>
      <c r="I250" s="16" t="s">
        <v>40</v>
      </c>
      <c r="J250" s="16" t="s">
        <v>69</v>
      </c>
      <c r="K250" s="16" t="s">
        <v>70</v>
      </c>
      <c r="L250" s="15">
        <v>-2699.5509870000001</v>
      </c>
      <c r="M250" s="15">
        <v>-2699.5509870000001</v>
      </c>
      <c r="N250" s="15">
        <v>-2665.3856373899998</v>
      </c>
      <c r="O250" s="15">
        <v>-34.165349610000249</v>
      </c>
      <c r="P250" s="15">
        <v>0</v>
      </c>
      <c r="Q250" s="15">
        <f t="shared" si="11"/>
        <v>0</v>
      </c>
      <c r="R250" s="15">
        <v>0</v>
      </c>
      <c r="S250" s="15">
        <f t="shared" si="12"/>
        <v>0</v>
      </c>
      <c r="T250" s="16"/>
      <c r="U250" s="15">
        <f t="shared" si="15"/>
        <v>-34.165349610000249</v>
      </c>
    </row>
    <row r="251" spans="1:21" hidden="1" x14ac:dyDescent="0.25">
      <c r="A251" s="16" t="s">
        <v>37</v>
      </c>
      <c r="B251" s="16" t="s">
        <v>257</v>
      </c>
      <c r="C251" s="16" t="s">
        <v>258</v>
      </c>
      <c r="D251" s="16" t="s">
        <v>100</v>
      </c>
      <c r="E251" s="16" t="s">
        <v>101</v>
      </c>
      <c r="F251" s="16" t="s">
        <v>152</v>
      </c>
      <c r="G251" s="16" t="s">
        <v>153</v>
      </c>
      <c r="H251" s="16" t="s">
        <v>85</v>
      </c>
      <c r="I251" s="16" t="s">
        <v>40</v>
      </c>
      <c r="J251" s="16" t="s">
        <v>136</v>
      </c>
      <c r="K251" s="16" t="s">
        <v>137</v>
      </c>
      <c r="L251" s="15">
        <v>-19447.700000000012</v>
      </c>
      <c r="M251" s="15">
        <v>0</v>
      </c>
      <c r="N251" s="15">
        <v>-19447.7</v>
      </c>
      <c r="O251" s="15">
        <v>-1.0913936421275139E-11</v>
      </c>
      <c r="P251" s="15">
        <v>-1.0913936421275139E-11</v>
      </c>
      <c r="Q251" s="15">
        <f t="shared" si="11"/>
        <v>-1.0913936421275139E-11</v>
      </c>
      <c r="R251" s="15">
        <v>0</v>
      </c>
      <c r="S251" s="15">
        <f t="shared" si="12"/>
        <v>-1.0913936421275139E-11</v>
      </c>
      <c r="T251" s="16"/>
      <c r="U251" s="26"/>
    </row>
    <row r="252" spans="1:21" hidden="1" x14ac:dyDescent="0.25">
      <c r="A252" s="16" t="s">
        <v>37</v>
      </c>
      <c r="B252" s="16" t="s">
        <v>265</v>
      </c>
      <c r="C252" s="16" t="s">
        <v>266</v>
      </c>
      <c r="D252" s="16" t="s">
        <v>100</v>
      </c>
      <c r="E252" s="16" t="s">
        <v>101</v>
      </c>
      <c r="F252" s="16" t="s">
        <v>152</v>
      </c>
      <c r="G252" s="16" t="s">
        <v>153</v>
      </c>
      <c r="H252" s="16" t="s">
        <v>85</v>
      </c>
      <c r="I252" s="16" t="s">
        <v>40</v>
      </c>
      <c r="J252" s="16" t="s">
        <v>138</v>
      </c>
      <c r="K252" s="16" t="s">
        <v>139</v>
      </c>
      <c r="L252" s="15">
        <v>-1807.1536417918308</v>
      </c>
      <c r="M252" s="15">
        <v>0</v>
      </c>
      <c r="N252" s="15">
        <v>-1807.1536417918298</v>
      </c>
      <c r="O252" s="15">
        <v>-9.0949470177292824E-13</v>
      </c>
      <c r="P252" s="15">
        <v>0</v>
      </c>
      <c r="Q252" s="15">
        <f t="shared" si="11"/>
        <v>0</v>
      </c>
      <c r="R252" s="15">
        <v>0</v>
      </c>
      <c r="S252" s="15">
        <f t="shared" si="12"/>
        <v>0</v>
      </c>
      <c r="T252" s="16"/>
      <c r="U252" s="16"/>
    </row>
    <row r="253" spans="1:21" x14ac:dyDescent="0.25">
      <c r="A253" s="16" t="s">
        <v>37</v>
      </c>
      <c r="B253" s="16" t="s">
        <v>269</v>
      </c>
      <c r="C253" s="16" t="s">
        <v>270</v>
      </c>
      <c r="D253" s="16" t="s">
        <v>100</v>
      </c>
      <c r="E253" s="16" t="s">
        <v>101</v>
      </c>
      <c r="F253" s="16" t="s">
        <v>154</v>
      </c>
      <c r="G253" s="16" t="s">
        <v>155</v>
      </c>
      <c r="H253" s="16" t="s">
        <v>85</v>
      </c>
      <c r="I253" s="16" t="s">
        <v>40</v>
      </c>
      <c r="J253" s="16" t="s">
        <v>38</v>
      </c>
      <c r="K253" s="16" t="s">
        <v>293</v>
      </c>
      <c r="L253" s="15">
        <v>-86658.365151378821</v>
      </c>
      <c r="M253" s="15">
        <v>-3503.535052115159</v>
      </c>
      <c r="N253" s="15">
        <v>-408288.65795245121</v>
      </c>
      <c r="O253" s="15">
        <v>321630.29280107241</v>
      </c>
      <c r="P253" s="15">
        <f>O253</f>
        <v>321630.29280107241</v>
      </c>
      <c r="Q253" s="15">
        <f>P253-R253-321630</f>
        <v>0.29280107241356745</v>
      </c>
      <c r="R253" s="15">
        <v>0</v>
      </c>
      <c r="S253" s="15">
        <f t="shared" si="12"/>
        <v>0.29280107241356745</v>
      </c>
      <c r="T253" s="16"/>
      <c r="U253" s="16"/>
    </row>
    <row r="254" spans="1:21" hidden="1" x14ac:dyDescent="0.25">
      <c r="A254" s="16" t="s">
        <v>37</v>
      </c>
      <c r="B254" s="16" t="s">
        <v>265</v>
      </c>
      <c r="C254" s="16" t="s">
        <v>266</v>
      </c>
      <c r="D254" s="16" t="s">
        <v>100</v>
      </c>
      <c r="E254" s="16" t="s">
        <v>101</v>
      </c>
      <c r="F254" s="16" t="s">
        <v>154</v>
      </c>
      <c r="G254" s="16" t="s">
        <v>155</v>
      </c>
      <c r="H254" s="16" t="s">
        <v>85</v>
      </c>
      <c r="I254" s="16" t="s">
        <v>40</v>
      </c>
      <c r="J254" s="16" t="s">
        <v>38</v>
      </c>
      <c r="K254" s="16" t="s">
        <v>293</v>
      </c>
      <c r="L254" s="15">
        <v>-697147.87575117289</v>
      </c>
      <c r="M254" s="15">
        <v>-28966.430014729529</v>
      </c>
      <c r="N254" s="15">
        <v>-626978.41997836158</v>
      </c>
      <c r="O254" s="15">
        <v>-70169.455772811198</v>
      </c>
      <c r="P254" s="15">
        <v>-70169.455772811198</v>
      </c>
      <c r="Q254" s="15">
        <f t="shared" si="11"/>
        <v>-70169.455772811198</v>
      </c>
      <c r="R254" s="15">
        <v>0</v>
      </c>
      <c r="S254" s="15">
        <f t="shared" si="12"/>
        <v>-70169.455772811198</v>
      </c>
      <c r="T254" s="16"/>
      <c r="U254" s="16"/>
    </row>
    <row r="255" spans="1:21" hidden="1" x14ac:dyDescent="0.25">
      <c r="A255" s="16" t="s">
        <v>37</v>
      </c>
      <c r="B255" s="16" t="s">
        <v>257</v>
      </c>
      <c r="C255" s="16" t="s">
        <v>258</v>
      </c>
      <c r="D255" s="16" t="s">
        <v>100</v>
      </c>
      <c r="E255" s="16" t="s">
        <v>101</v>
      </c>
      <c r="F255" s="16" t="s">
        <v>154</v>
      </c>
      <c r="G255" s="16" t="s">
        <v>155</v>
      </c>
      <c r="H255" s="16" t="s">
        <v>85</v>
      </c>
      <c r="I255" s="16" t="s">
        <v>40</v>
      </c>
      <c r="J255" s="16" t="s">
        <v>38</v>
      </c>
      <c r="K255" s="16" t="s">
        <v>293</v>
      </c>
      <c r="L255" s="15">
        <v>-957579.32928723749</v>
      </c>
      <c r="M255" s="15">
        <v>-262239.11455835158</v>
      </c>
      <c r="N255" s="15">
        <v>-480185.19574151246</v>
      </c>
      <c r="O255" s="15">
        <v>-477394.13354572485</v>
      </c>
      <c r="P255" s="15">
        <v>-477394.13354572485</v>
      </c>
      <c r="Q255" s="15">
        <f>P255-R255+P253</f>
        <v>-155763.84074465244</v>
      </c>
      <c r="R255" s="15">
        <v>0</v>
      </c>
      <c r="S255" s="15">
        <f t="shared" si="12"/>
        <v>-155763.84074465244</v>
      </c>
      <c r="T255" s="16"/>
      <c r="U255" s="26"/>
    </row>
    <row r="256" spans="1:21" hidden="1" x14ac:dyDescent="0.25">
      <c r="A256" s="16" t="s">
        <v>37</v>
      </c>
      <c r="B256" s="16" t="s">
        <v>257</v>
      </c>
      <c r="C256" s="16" t="s">
        <v>258</v>
      </c>
      <c r="D256" s="16" t="s">
        <v>100</v>
      </c>
      <c r="E256" s="16" t="s">
        <v>101</v>
      </c>
      <c r="F256" s="16" t="s">
        <v>154</v>
      </c>
      <c r="G256" s="16" t="s">
        <v>155</v>
      </c>
      <c r="H256" s="16" t="s">
        <v>85</v>
      </c>
      <c r="I256" s="16" t="s">
        <v>40</v>
      </c>
      <c r="J256" s="16" t="s">
        <v>142</v>
      </c>
      <c r="K256" s="16" t="s">
        <v>143</v>
      </c>
      <c r="L256" s="15">
        <v>-4258.0300000000007</v>
      </c>
      <c r="M256" s="15">
        <v>0</v>
      </c>
      <c r="N256" s="15">
        <v>0</v>
      </c>
      <c r="O256" s="15">
        <v>-4258.0300000000007</v>
      </c>
      <c r="P256" s="15">
        <v>-4258.0300000000007</v>
      </c>
      <c r="Q256" s="15">
        <f t="shared" si="11"/>
        <v>-4258.0300000000007</v>
      </c>
      <c r="R256" s="15">
        <v>0</v>
      </c>
      <c r="S256" s="15">
        <f t="shared" si="12"/>
        <v>-4258.0300000000007</v>
      </c>
      <c r="T256" s="16"/>
      <c r="U256" s="26"/>
    </row>
    <row r="257" spans="1:21" x14ac:dyDescent="0.25">
      <c r="A257" s="16" t="s">
        <v>37</v>
      </c>
      <c r="B257" s="16" t="s">
        <v>269</v>
      </c>
      <c r="C257" s="16" t="s">
        <v>270</v>
      </c>
      <c r="D257" s="16" t="s">
        <v>100</v>
      </c>
      <c r="E257" s="16" t="s">
        <v>101</v>
      </c>
      <c r="F257" s="16" t="s">
        <v>154</v>
      </c>
      <c r="G257" s="16" t="s">
        <v>155</v>
      </c>
      <c r="H257" s="16" t="s">
        <v>85</v>
      </c>
      <c r="I257" s="16" t="s">
        <v>40</v>
      </c>
      <c r="J257" s="16" t="s">
        <v>130</v>
      </c>
      <c r="K257" s="16" t="s">
        <v>131</v>
      </c>
      <c r="L257" s="15">
        <v>-3948.6800000136336</v>
      </c>
      <c r="M257" s="15">
        <v>-3948.6800000136336</v>
      </c>
      <c r="N257" s="15">
        <v>0</v>
      </c>
      <c r="O257" s="15">
        <v>-3948.6800000136336</v>
      </c>
      <c r="P257" s="15">
        <v>-3948.6800000136336</v>
      </c>
      <c r="Q257" s="15">
        <f t="shared" si="11"/>
        <v>-3948.6800000136336</v>
      </c>
      <c r="R257" s="15">
        <v>0</v>
      </c>
      <c r="S257" s="15">
        <f t="shared" si="12"/>
        <v>-3948.6800000136336</v>
      </c>
      <c r="T257" s="16"/>
      <c r="U257" s="16"/>
    </row>
    <row r="258" spans="1:21" hidden="1" x14ac:dyDescent="0.25">
      <c r="A258" s="16" t="s">
        <v>37</v>
      </c>
      <c r="B258" s="16" t="s">
        <v>257</v>
      </c>
      <c r="C258" s="16" t="s">
        <v>258</v>
      </c>
      <c r="D258" s="16" t="s">
        <v>100</v>
      </c>
      <c r="E258" s="16" t="s">
        <v>101</v>
      </c>
      <c r="F258" s="16" t="s">
        <v>154</v>
      </c>
      <c r="G258" s="16" t="s">
        <v>155</v>
      </c>
      <c r="H258" s="16" t="s">
        <v>85</v>
      </c>
      <c r="I258" s="16" t="s">
        <v>40</v>
      </c>
      <c r="J258" s="16" t="s">
        <v>296</v>
      </c>
      <c r="K258" s="16" t="s">
        <v>297</v>
      </c>
      <c r="L258" s="15">
        <v>-189.234999587</v>
      </c>
      <c r="M258" s="15">
        <v>0</v>
      </c>
      <c r="N258" s="15">
        <v>-188.793916</v>
      </c>
      <c r="O258" s="15">
        <v>-0.44108358699998007</v>
      </c>
      <c r="P258" s="15">
        <v>-0.44108358699998007</v>
      </c>
      <c r="Q258" s="15">
        <f t="shared" si="11"/>
        <v>-0.44108358699998007</v>
      </c>
      <c r="R258" s="15">
        <v>0</v>
      </c>
      <c r="S258" s="15">
        <f t="shared" si="12"/>
        <v>-0.44108358699998007</v>
      </c>
      <c r="T258" s="16"/>
      <c r="U258" s="26"/>
    </row>
    <row r="259" spans="1:21" hidden="1" x14ac:dyDescent="0.25">
      <c r="A259" s="16" t="s">
        <v>37</v>
      </c>
      <c r="B259" s="16" t="s">
        <v>265</v>
      </c>
      <c r="C259" s="16" t="s">
        <v>266</v>
      </c>
      <c r="D259" s="16" t="s">
        <v>100</v>
      </c>
      <c r="E259" s="16" t="s">
        <v>101</v>
      </c>
      <c r="F259" s="16" t="s">
        <v>154</v>
      </c>
      <c r="G259" s="16" t="s">
        <v>155</v>
      </c>
      <c r="H259" s="16" t="s">
        <v>85</v>
      </c>
      <c r="I259" s="16" t="s">
        <v>40</v>
      </c>
      <c r="J259" s="16" t="s">
        <v>124</v>
      </c>
      <c r="K259" s="16" t="s">
        <v>125</v>
      </c>
      <c r="L259" s="15">
        <v>-69079.998315229997</v>
      </c>
      <c r="M259" s="15">
        <v>0</v>
      </c>
      <c r="N259" s="15">
        <v>-55275.421564232209</v>
      </c>
      <c r="O259" s="15">
        <v>-13804.576750997776</v>
      </c>
      <c r="P259" s="15">
        <v>0</v>
      </c>
      <c r="Q259" s="15">
        <f t="shared" si="11"/>
        <v>0</v>
      </c>
      <c r="R259" s="15">
        <v>0</v>
      </c>
      <c r="S259" s="15">
        <f t="shared" si="12"/>
        <v>0</v>
      </c>
      <c r="T259" s="16"/>
      <c r="U259" s="16"/>
    </row>
    <row r="260" spans="1:21" hidden="1" x14ac:dyDescent="0.25">
      <c r="A260" s="16" t="s">
        <v>37</v>
      </c>
      <c r="B260" s="16" t="s">
        <v>257</v>
      </c>
      <c r="C260" s="16" t="s">
        <v>258</v>
      </c>
      <c r="D260" s="16" t="s">
        <v>100</v>
      </c>
      <c r="E260" s="16" t="s">
        <v>101</v>
      </c>
      <c r="F260" s="16" t="s">
        <v>154</v>
      </c>
      <c r="G260" s="16" t="s">
        <v>155</v>
      </c>
      <c r="H260" s="16" t="s">
        <v>85</v>
      </c>
      <c r="I260" s="16" t="s">
        <v>40</v>
      </c>
      <c r="J260" s="16" t="s">
        <v>124</v>
      </c>
      <c r="K260" s="16" t="s">
        <v>125</v>
      </c>
      <c r="L260" s="15">
        <v>-64.138899999999992</v>
      </c>
      <c r="M260" s="15">
        <v>0</v>
      </c>
      <c r="N260" s="15">
        <v>-48.544533999999999</v>
      </c>
      <c r="O260" s="15">
        <v>-15.594365999999994</v>
      </c>
      <c r="P260" s="15">
        <v>0</v>
      </c>
      <c r="Q260" s="15">
        <f t="shared" si="11"/>
        <v>0</v>
      </c>
      <c r="R260" s="15">
        <v>0</v>
      </c>
      <c r="S260" s="15">
        <f t="shared" si="12"/>
        <v>0</v>
      </c>
      <c r="T260" s="16"/>
      <c r="U260" s="26"/>
    </row>
    <row r="261" spans="1:21" x14ac:dyDescent="0.25">
      <c r="A261" s="16" t="s">
        <v>37</v>
      </c>
      <c r="B261" s="16" t="s">
        <v>269</v>
      </c>
      <c r="C261" s="16" t="s">
        <v>270</v>
      </c>
      <c r="D261" s="16" t="s">
        <v>100</v>
      </c>
      <c r="E261" s="16" t="s">
        <v>101</v>
      </c>
      <c r="F261" s="16" t="s">
        <v>154</v>
      </c>
      <c r="G261" s="16" t="s">
        <v>155</v>
      </c>
      <c r="H261" s="16" t="s">
        <v>85</v>
      </c>
      <c r="I261" s="16" t="s">
        <v>40</v>
      </c>
      <c r="J261" s="16" t="s">
        <v>124</v>
      </c>
      <c r="K261" s="16" t="s">
        <v>125</v>
      </c>
      <c r="L261" s="15">
        <v>-413.63184455046758</v>
      </c>
      <c r="M261" s="15">
        <v>0</v>
      </c>
      <c r="N261" s="15">
        <v>-298.69999999999976</v>
      </c>
      <c r="O261" s="15">
        <v>-114.93184455046796</v>
      </c>
      <c r="P261" s="15">
        <v>0</v>
      </c>
      <c r="Q261" s="15">
        <f t="shared" si="11"/>
        <v>0</v>
      </c>
      <c r="R261" s="15">
        <v>0</v>
      </c>
      <c r="S261" s="15">
        <f t="shared" si="12"/>
        <v>0</v>
      </c>
      <c r="T261" s="16"/>
      <c r="U261" s="16"/>
    </row>
    <row r="262" spans="1:21" hidden="1" x14ac:dyDescent="0.25">
      <c r="A262" s="16" t="s">
        <v>37</v>
      </c>
      <c r="B262" s="16" t="s">
        <v>257</v>
      </c>
      <c r="C262" s="16" t="s">
        <v>258</v>
      </c>
      <c r="D262" s="16" t="s">
        <v>100</v>
      </c>
      <c r="E262" s="16" t="s">
        <v>101</v>
      </c>
      <c r="F262" s="16" t="s">
        <v>154</v>
      </c>
      <c r="G262" s="16" t="s">
        <v>155</v>
      </c>
      <c r="H262" s="16" t="s">
        <v>85</v>
      </c>
      <c r="I262" s="16" t="s">
        <v>40</v>
      </c>
      <c r="J262" s="16" t="s">
        <v>298</v>
      </c>
      <c r="K262" s="16" t="s">
        <v>299</v>
      </c>
      <c r="L262" s="15">
        <v>-2926.94664474</v>
      </c>
      <c r="M262" s="15">
        <v>-119.769552</v>
      </c>
      <c r="N262" s="15">
        <v>-1858.2710249614001</v>
      </c>
      <c r="O262" s="15">
        <v>-1068.6756197785996</v>
      </c>
      <c r="P262" s="15">
        <v>-1068.6756197785996</v>
      </c>
      <c r="Q262" s="15">
        <f t="shared" si="11"/>
        <v>-1068.6756197785996</v>
      </c>
      <c r="R262" s="15">
        <v>0</v>
      </c>
      <c r="S262" s="15">
        <f t="shared" si="12"/>
        <v>-1068.6756197785996</v>
      </c>
      <c r="T262" s="16"/>
      <c r="U262" s="26"/>
    </row>
    <row r="263" spans="1:21" x14ac:dyDescent="0.25">
      <c r="A263" s="16" t="s">
        <v>37</v>
      </c>
      <c r="B263" s="16" t="s">
        <v>269</v>
      </c>
      <c r="C263" s="16" t="s">
        <v>270</v>
      </c>
      <c r="D263" s="16" t="s">
        <v>100</v>
      </c>
      <c r="E263" s="16" t="s">
        <v>101</v>
      </c>
      <c r="F263" s="16" t="s">
        <v>154</v>
      </c>
      <c r="G263" s="16" t="s">
        <v>155</v>
      </c>
      <c r="H263" s="16" t="s">
        <v>85</v>
      </c>
      <c r="I263" s="16" t="s">
        <v>40</v>
      </c>
      <c r="J263" s="16" t="s">
        <v>132</v>
      </c>
      <c r="K263" s="16" t="s">
        <v>133</v>
      </c>
      <c r="L263" s="15">
        <v>-11603.38038334372</v>
      </c>
      <c r="M263" s="15">
        <v>-11603.38038334372</v>
      </c>
      <c r="N263" s="15">
        <v>-11603.379997883845</v>
      </c>
      <c r="O263" s="15">
        <v>-3.8545987297311513E-4</v>
      </c>
      <c r="P263" s="15">
        <v>0</v>
      </c>
      <c r="Q263" s="15">
        <f t="shared" si="11"/>
        <v>0</v>
      </c>
      <c r="R263" s="15">
        <v>0</v>
      </c>
      <c r="S263" s="15">
        <f t="shared" si="12"/>
        <v>0</v>
      </c>
      <c r="T263" s="16"/>
      <c r="U263" s="16"/>
    </row>
    <row r="264" spans="1:21" x14ac:dyDescent="0.25">
      <c r="A264" s="16" t="s">
        <v>37</v>
      </c>
      <c r="B264" s="16" t="s">
        <v>269</v>
      </c>
      <c r="C264" s="16" t="s">
        <v>270</v>
      </c>
      <c r="D264" s="16" t="s">
        <v>100</v>
      </c>
      <c r="E264" s="16" t="s">
        <v>101</v>
      </c>
      <c r="F264" s="16" t="s">
        <v>154</v>
      </c>
      <c r="G264" s="16" t="s">
        <v>155</v>
      </c>
      <c r="H264" s="16" t="s">
        <v>85</v>
      </c>
      <c r="I264" s="16" t="s">
        <v>40</v>
      </c>
      <c r="J264" s="16" t="s">
        <v>64</v>
      </c>
      <c r="K264" s="16" t="s">
        <v>65</v>
      </c>
      <c r="L264" s="15">
        <v>-25717.704636341037</v>
      </c>
      <c r="M264" s="15">
        <v>0</v>
      </c>
      <c r="N264" s="15">
        <v>-23217.699963209256</v>
      </c>
      <c r="O264" s="15">
        <v>-2500.0046731317816</v>
      </c>
      <c r="P264" s="15">
        <v>-2500.0046731317816</v>
      </c>
      <c r="Q264" s="15">
        <f t="shared" si="11"/>
        <v>-2500.0046731317816</v>
      </c>
      <c r="R264" s="15">
        <v>0</v>
      </c>
      <c r="S264" s="15">
        <f t="shared" si="12"/>
        <v>-2500.0046731317816</v>
      </c>
      <c r="T264" s="16"/>
      <c r="U264" s="16"/>
    </row>
    <row r="265" spans="1:21" x14ac:dyDescent="0.25">
      <c r="A265" s="16" t="s">
        <v>37</v>
      </c>
      <c r="B265" s="16" t="s">
        <v>269</v>
      </c>
      <c r="C265" s="16" t="s">
        <v>270</v>
      </c>
      <c r="D265" s="16" t="s">
        <v>100</v>
      </c>
      <c r="E265" s="16" t="s">
        <v>101</v>
      </c>
      <c r="F265" s="16" t="s">
        <v>154</v>
      </c>
      <c r="G265" s="16" t="s">
        <v>155</v>
      </c>
      <c r="H265" s="16" t="s">
        <v>85</v>
      </c>
      <c r="I265" s="16" t="s">
        <v>40</v>
      </c>
      <c r="J265" s="16" t="s">
        <v>66</v>
      </c>
      <c r="K265" s="16" t="s">
        <v>63</v>
      </c>
      <c r="L265" s="15">
        <v>-15398.847824232224</v>
      </c>
      <c r="M265" s="15">
        <v>-15398.847824232224</v>
      </c>
      <c r="N265" s="15">
        <v>-15398.849986943165</v>
      </c>
      <c r="O265" s="15">
        <v>2.1627109422297508E-3</v>
      </c>
      <c r="P265" s="15">
        <v>0</v>
      </c>
      <c r="Q265" s="15">
        <f t="shared" si="11"/>
        <v>0</v>
      </c>
      <c r="R265" s="15">
        <v>0</v>
      </c>
      <c r="S265" s="15">
        <f t="shared" si="12"/>
        <v>0</v>
      </c>
      <c r="T265" s="16"/>
      <c r="U265" s="16"/>
    </row>
    <row r="266" spans="1:21" hidden="1" x14ac:dyDescent="0.25">
      <c r="A266" s="16" t="s">
        <v>37</v>
      </c>
      <c r="B266" s="16" t="s">
        <v>257</v>
      </c>
      <c r="C266" s="16" t="s">
        <v>258</v>
      </c>
      <c r="D266" s="16" t="s">
        <v>100</v>
      </c>
      <c r="E266" s="16" t="s">
        <v>101</v>
      </c>
      <c r="F266" s="16" t="s">
        <v>154</v>
      </c>
      <c r="G266" s="16" t="s">
        <v>155</v>
      </c>
      <c r="H266" s="16" t="s">
        <v>85</v>
      </c>
      <c r="I266" s="16" t="s">
        <v>40</v>
      </c>
      <c r="J266" s="16" t="s">
        <v>67</v>
      </c>
      <c r="K266" s="16" t="s">
        <v>68</v>
      </c>
      <c r="L266" s="15">
        <v>-1720</v>
      </c>
      <c r="M266" s="15">
        <v>0</v>
      </c>
      <c r="N266" s="15">
        <v>0</v>
      </c>
      <c r="O266" s="15">
        <v>-1720</v>
      </c>
      <c r="P266" s="15">
        <v>-1720</v>
      </c>
      <c r="Q266" s="15">
        <f t="shared" si="11"/>
        <v>-1720</v>
      </c>
      <c r="R266" s="15">
        <v>0</v>
      </c>
      <c r="S266" s="15">
        <f t="shared" si="12"/>
        <v>-1720</v>
      </c>
      <c r="T266" s="16"/>
      <c r="U266" s="26"/>
    </row>
    <row r="267" spans="1:21" hidden="1" x14ac:dyDescent="0.25">
      <c r="A267" s="16" t="s">
        <v>37</v>
      </c>
      <c r="B267" s="16" t="s">
        <v>257</v>
      </c>
      <c r="C267" s="16" t="s">
        <v>258</v>
      </c>
      <c r="D267" s="16" t="s">
        <v>100</v>
      </c>
      <c r="E267" s="16" t="s">
        <v>101</v>
      </c>
      <c r="F267" s="16" t="s">
        <v>154</v>
      </c>
      <c r="G267" s="16" t="s">
        <v>155</v>
      </c>
      <c r="H267" s="16" t="s">
        <v>85</v>
      </c>
      <c r="I267" s="16" t="s">
        <v>40</v>
      </c>
      <c r="J267" s="16" t="s">
        <v>69</v>
      </c>
      <c r="K267" s="16" t="s">
        <v>70</v>
      </c>
      <c r="L267" s="15">
        <v>-1147.544322</v>
      </c>
      <c r="M267" s="15">
        <v>-1147.544322</v>
      </c>
      <c r="N267" s="15">
        <v>-1133.0210723400005</v>
      </c>
      <c r="O267" s="15">
        <v>-14.523249659999408</v>
      </c>
      <c r="P267" s="15">
        <v>0</v>
      </c>
      <c r="Q267" s="15">
        <f t="shared" si="11"/>
        <v>0</v>
      </c>
      <c r="R267" s="15">
        <v>0</v>
      </c>
      <c r="S267" s="15">
        <f t="shared" si="12"/>
        <v>0</v>
      </c>
      <c r="T267" s="16"/>
      <c r="U267" s="15">
        <f t="shared" ref="U267:U268" si="16">O267</f>
        <v>-14.523249659999408</v>
      </c>
    </row>
    <row r="268" spans="1:21" x14ac:dyDescent="0.25">
      <c r="A268" s="16" t="s">
        <v>37</v>
      </c>
      <c r="B268" s="16" t="s">
        <v>269</v>
      </c>
      <c r="C268" s="16" t="s">
        <v>270</v>
      </c>
      <c r="D268" s="16" t="s">
        <v>100</v>
      </c>
      <c r="E268" s="16" t="s">
        <v>101</v>
      </c>
      <c r="F268" s="16" t="s">
        <v>154</v>
      </c>
      <c r="G268" s="16" t="s">
        <v>155</v>
      </c>
      <c r="H268" s="16" t="s">
        <v>85</v>
      </c>
      <c r="I268" s="16" t="s">
        <v>40</v>
      </c>
      <c r="J268" s="16" t="s">
        <v>69</v>
      </c>
      <c r="K268" s="16" t="s">
        <v>70</v>
      </c>
      <c r="L268" s="15">
        <v>-387.90254126649177</v>
      </c>
      <c r="M268" s="15">
        <v>-387.90254126649177</v>
      </c>
      <c r="N268" s="15">
        <v>-387.88999931170179</v>
      </c>
      <c r="O268" s="15">
        <v>-1.2541954789973886E-2</v>
      </c>
      <c r="P268" s="15">
        <v>0</v>
      </c>
      <c r="Q268" s="15">
        <f t="shared" ref="Q268:Q331" si="17">P268-R268</f>
        <v>0</v>
      </c>
      <c r="R268" s="15">
        <v>0</v>
      </c>
      <c r="S268" s="15">
        <f t="shared" ref="S268:S331" si="18">SUM(Q268:R268)</f>
        <v>0</v>
      </c>
      <c r="T268" s="16"/>
      <c r="U268" s="15">
        <f t="shared" si="16"/>
        <v>-1.2541954789973886E-2</v>
      </c>
    </row>
    <row r="269" spans="1:21" hidden="1" x14ac:dyDescent="0.25">
      <c r="A269" s="16" t="s">
        <v>37</v>
      </c>
      <c r="B269" s="16" t="s">
        <v>257</v>
      </c>
      <c r="C269" s="16" t="s">
        <v>258</v>
      </c>
      <c r="D269" s="16" t="s">
        <v>100</v>
      </c>
      <c r="E269" s="16" t="s">
        <v>101</v>
      </c>
      <c r="F269" s="16" t="s">
        <v>154</v>
      </c>
      <c r="G269" s="16" t="s">
        <v>155</v>
      </c>
      <c r="H269" s="16" t="s">
        <v>85</v>
      </c>
      <c r="I269" s="16" t="s">
        <v>40</v>
      </c>
      <c r="J269" s="16" t="s">
        <v>136</v>
      </c>
      <c r="K269" s="16" t="s">
        <v>137</v>
      </c>
      <c r="L269" s="15">
        <v>-19447.700000000012</v>
      </c>
      <c r="M269" s="15">
        <v>0</v>
      </c>
      <c r="N269" s="15">
        <v>-19447.7</v>
      </c>
      <c r="O269" s="15">
        <v>-1.0913936421275139E-11</v>
      </c>
      <c r="P269" s="15">
        <v>-1.0913936421275139E-11</v>
      </c>
      <c r="Q269" s="15">
        <f t="shared" si="17"/>
        <v>-1.0913936421275139E-11</v>
      </c>
      <c r="R269" s="15">
        <v>0</v>
      </c>
      <c r="S269" s="15">
        <f t="shared" si="18"/>
        <v>-1.0913936421275139E-11</v>
      </c>
      <c r="T269" s="16"/>
      <c r="U269" s="26"/>
    </row>
    <row r="270" spans="1:21" hidden="1" x14ac:dyDescent="0.25">
      <c r="A270" s="16" t="s">
        <v>37</v>
      </c>
      <c r="B270" s="16" t="s">
        <v>265</v>
      </c>
      <c r="C270" s="16" t="s">
        <v>266</v>
      </c>
      <c r="D270" s="16" t="s">
        <v>100</v>
      </c>
      <c r="E270" s="16" t="s">
        <v>101</v>
      </c>
      <c r="F270" s="16" t="s">
        <v>154</v>
      </c>
      <c r="G270" s="16" t="s">
        <v>155</v>
      </c>
      <c r="H270" s="16" t="s">
        <v>85</v>
      </c>
      <c r="I270" s="16" t="s">
        <v>40</v>
      </c>
      <c r="J270" s="16" t="s">
        <v>138</v>
      </c>
      <c r="K270" s="16" t="s">
        <v>139</v>
      </c>
      <c r="L270" s="15">
        <v>-762.8503038114527</v>
      </c>
      <c r="M270" s="15">
        <v>0</v>
      </c>
      <c r="N270" s="15">
        <v>-762.8503038114527</v>
      </c>
      <c r="O270" s="15">
        <v>0</v>
      </c>
      <c r="P270" s="15">
        <v>0</v>
      </c>
      <c r="Q270" s="15">
        <f t="shared" si="17"/>
        <v>0</v>
      </c>
      <c r="R270" s="15">
        <v>0</v>
      </c>
      <c r="S270" s="15">
        <f t="shared" si="18"/>
        <v>0</v>
      </c>
      <c r="T270" s="16"/>
      <c r="U270" s="16"/>
    </row>
    <row r="271" spans="1:21" x14ac:dyDescent="0.25">
      <c r="A271" s="16" t="s">
        <v>37</v>
      </c>
      <c r="B271" s="16" t="s">
        <v>269</v>
      </c>
      <c r="C271" s="16" t="s">
        <v>270</v>
      </c>
      <c r="D271" s="16" t="s">
        <v>100</v>
      </c>
      <c r="E271" s="16" t="s">
        <v>101</v>
      </c>
      <c r="F271" s="16" t="s">
        <v>156</v>
      </c>
      <c r="G271" s="16" t="s">
        <v>157</v>
      </c>
      <c r="H271" s="16" t="s">
        <v>85</v>
      </c>
      <c r="I271" s="16" t="s">
        <v>40</v>
      </c>
      <c r="J271" s="16" t="s">
        <v>38</v>
      </c>
      <c r="K271" s="16" t="s">
        <v>293</v>
      </c>
      <c r="L271" s="15">
        <v>-50456.275019116511</v>
      </c>
      <c r="M271" s="15">
        <v>-144.59849013650523</v>
      </c>
      <c r="N271" s="15">
        <v>-103663.63300447934</v>
      </c>
      <c r="O271" s="15">
        <v>53207.357985362833</v>
      </c>
      <c r="P271" s="15">
        <f>O271</f>
        <v>53207.357985362833</v>
      </c>
      <c r="Q271" s="15">
        <f>P271-R271-53207</f>
        <v>0.35798536283255089</v>
      </c>
      <c r="R271" s="15">
        <v>0</v>
      </c>
      <c r="S271" s="15">
        <f t="shared" si="18"/>
        <v>0.35798536283255089</v>
      </c>
      <c r="T271" s="16"/>
      <c r="U271" s="16"/>
    </row>
    <row r="272" spans="1:21" hidden="1" x14ac:dyDescent="0.25">
      <c r="A272" s="16" t="s">
        <v>37</v>
      </c>
      <c r="B272" s="16" t="s">
        <v>261</v>
      </c>
      <c r="C272" s="16" t="s">
        <v>262</v>
      </c>
      <c r="D272" s="16" t="s">
        <v>100</v>
      </c>
      <c r="E272" s="16" t="s">
        <v>101</v>
      </c>
      <c r="F272" s="16" t="s">
        <v>156</v>
      </c>
      <c r="G272" s="16" t="s">
        <v>157</v>
      </c>
      <c r="H272" s="16" t="s">
        <v>85</v>
      </c>
      <c r="I272" s="16" t="s">
        <v>40</v>
      </c>
      <c r="J272" s="16" t="s">
        <v>38</v>
      </c>
      <c r="K272" s="16" t="s">
        <v>293</v>
      </c>
      <c r="L272" s="15">
        <v>-868179.55427239928</v>
      </c>
      <c r="M272" s="15">
        <v>-176166.92</v>
      </c>
      <c r="N272" s="15">
        <v>-649708.97323909088</v>
      </c>
      <c r="O272" s="15">
        <v>-218470.58103330852</v>
      </c>
      <c r="P272" s="15">
        <v>-218470.58103330852</v>
      </c>
      <c r="Q272" s="15">
        <f t="shared" si="17"/>
        <v>-218470.58103330852</v>
      </c>
      <c r="R272" s="15">
        <v>0</v>
      </c>
      <c r="S272" s="15">
        <f t="shared" si="18"/>
        <v>-218470.58103330852</v>
      </c>
      <c r="T272" s="16"/>
      <c r="U272" s="16"/>
    </row>
    <row r="273" spans="1:21" hidden="1" x14ac:dyDescent="0.25">
      <c r="A273" s="16" t="s">
        <v>37</v>
      </c>
      <c r="B273" s="16" t="s">
        <v>257</v>
      </c>
      <c r="C273" s="16" t="s">
        <v>258</v>
      </c>
      <c r="D273" s="16" t="s">
        <v>100</v>
      </c>
      <c r="E273" s="16" t="s">
        <v>101</v>
      </c>
      <c r="F273" s="16" t="s">
        <v>156</v>
      </c>
      <c r="G273" s="16" t="s">
        <v>157</v>
      </c>
      <c r="H273" s="16" t="s">
        <v>85</v>
      </c>
      <c r="I273" s="16" t="s">
        <v>40</v>
      </c>
      <c r="J273" s="16" t="s">
        <v>38</v>
      </c>
      <c r="K273" s="16" t="s">
        <v>293</v>
      </c>
      <c r="L273" s="15">
        <v>-2979037.6382238595</v>
      </c>
      <c r="M273" s="15">
        <v>-908737.85159945046</v>
      </c>
      <c r="N273" s="15">
        <v>-1952056.6811778466</v>
      </c>
      <c r="O273" s="15">
        <v>-1026980.9570460134</v>
      </c>
      <c r="P273" s="15">
        <v>-1026980.9570460134</v>
      </c>
      <c r="Q273" s="15">
        <f>P273-R273+P271</f>
        <v>-973773.59906065057</v>
      </c>
      <c r="R273" s="15">
        <v>0</v>
      </c>
      <c r="S273" s="15">
        <f t="shared" si="18"/>
        <v>-973773.59906065057</v>
      </c>
      <c r="T273" s="16"/>
      <c r="U273" s="26"/>
    </row>
    <row r="274" spans="1:21" hidden="1" x14ac:dyDescent="0.25">
      <c r="A274" s="16" t="s">
        <v>37</v>
      </c>
      <c r="B274" s="16" t="s">
        <v>257</v>
      </c>
      <c r="C274" s="16" t="s">
        <v>258</v>
      </c>
      <c r="D274" s="16" t="s">
        <v>100</v>
      </c>
      <c r="E274" s="16" t="s">
        <v>101</v>
      </c>
      <c r="F274" s="16" t="s">
        <v>156</v>
      </c>
      <c r="G274" s="16" t="s">
        <v>157</v>
      </c>
      <c r="H274" s="16" t="s">
        <v>85</v>
      </c>
      <c r="I274" s="16" t="s">
        <v>40</v>
      </c>
      <c r="J274" s="16" t="s">
        <v>142</v>
      </c>
      <c r="K274" s="16" t="s">
        <v>143</v>
      </c>
      <c r="L274" s="15">
        <v>-7318.0379999999996</v>
      </c>
      <c r="M274" s="15">
        <v>0</v>
      </c>
      <c r="N274" s="15">
        <v>0</v>
      </c>
      <c r="O274" s="15">
        <v>-7318.0379999999996</v>
      </c>
      <c r="P274" s="15">
        <v>-7318.0379999999996</v>
      </c>
      <c r="Q274" s="15">
        <f t="shared" si="17"/>
        <v>-7318.0379999999996</v>
      </c>
      <c r="R274" s="15">
        <v>0</v>
      </c>
      <c r="S274" s="15">
        <f t="shared" si="18"/>
        <v>-7318.0379999999996</v>
      </c>
      <c r="T274" s="16"/>
      <c r="U274" s="26"/>
    </row>
    <row r="275" spans="1:21" x14ac:dyDescent="0.25">
      <c r="A275" s="16" t="s">
        <v>37</v>
      </c>
      <c r="B275" s="16" t="s">
        <v>269</v>
      </c>
      <c r="C275" s="16" t="s">
        <v>270</v>
      </c>
      <c r="D275" s="16" t="s">
        <v>100</v>
      </c>
      <c r="E275" s="16" t="s">
        <v>101</v>
      </c>
      <c r="F275" s="16" t="s">
        <v>156</v>
      </c>
      <c r="G275" s="16" t="s">
        <v>157</v>
      </c>
      <c r="H275" s="16" t="s">
        <v>85</v>
      </c>
      <c r="I275" s="16" t="s">
        <v>40</v>
      </c>
      <c r="J275" s="16" t="s">
        <v>130</v>
      </c>
      <c r="K275" s="16" t="s">
        <v>131</v>
      </c>
      <c r="L275" s="15">
        <v>-751.4600000025946</v>
      </c>
      <c r="M275" s="15">
        <v>-751.4600000025946</v>
      </c>
      <c r="N275" s="15">
        <v>0</v>
      </c>
      <c r="O275" s="15">
        <v>-751.4600000025946</v>
      </c>
      <c r="P275" s="15">
        <v>-751.4600000025946</v>
      </c>
      <c r="Q275" s="15">
        <f t="shared" si="17"/>
        <v>-751.4600000025946</v>
      </c>
      <c r="R275" s="15">
        <v>0</v>
      </c>
      <c r="S275" s="15">
        <f t="shared" si="18"/>
        <v>-751.4600000025946</v>
      </c>
      <c r="T275" s="16"/>
      <c r="U275" s="16"/>
    </row>
    <row r="276" spans="1:21" hidden="1" x14ac:dyDescent="0.25">
      <c r="A276" s="16" t="s">
        <v>37</v>
      </c>
      <c r="B276" s="16" t="s">
        <v>257</v>
      </c>
      <c r="C276" s="16" t="s">
        <v>258</v>
      </c>
      <c r="D276" s="16" t="s">
        <v>100</v>
      </c>
      <c r="E276" s="16" t="s">
        <v>101</v>
      </c>
      <c r="F276" s="16" t="s">
        <v>156</v>
      </c>
      <c r="G276" s="16" t="s">
        <v>157</v>
      </c>
      <c r="H276" s="16" t="s">
        <v>85</v>
      </c>
      <c r="I276" s="16" t="s">
        <v>40</v>
      </c>
      <c r="J276" s="16" t="s">
        <v>296</v>
      </c>
      <c r="K276" s="16" t="s">
        <v>297</v>
      </c>
      <c r="L276" s="15">
        <v>-200039.96498299707</v>
      </c>
      <c r="M276" s="15">
        <v>-3183.04814115</v>
      </c>
      <c r="N276" s="15">
        <v>-199962.595004</v>
      </c>
      <c r="O276" s="15">
        <v>-77.369978997070575</v>
      </c>
      <c r="P276" s="15">
        <v>-77.369978997070575</v>
      </c>
      <c r="Q276" s="15">
        <f t="shared" si="17"/>
        <v>-77.369978997070575</v>
      </c>
      <c r="R276" s="15">
        <v>0</v>
      </c>
      <c r="S276" s="15">
        <f t="shared" si="18"/>
        <v>-77.369978997070575</v>
      </c>
      <c r="T276" s="16"/>
      <c r="U276" s="26"/>
    </row>
    <row r="277" spans="1:21" x14ac:dyDescent="0.25">
      <c r="A277" s="16" t="s">
        <v>37</v>
      </c>
      <c r="B277" s="16" t="s">
        <v>269</v>
      </c>
      <c r="C277" s="16" t="s">
        <v>270</v>
      </c>
      <c r="D277" s="16" t="s">
        <v>100</v>
      </c>
      <c r="E277" s="16" t="s">
        <v>101</v>
      </c>
      <c r="F277" s="16" t="s">
        <v>156</v>
      </c>
      <c r="G277" s="16" t="s">
        <v>157</v>
      </c>
      <c r="H277" s="16" t="s">
        <v>85</v>
      </c>
      <c r="I277" s="16" t="s">
        <v>40</v>
      </c>
      <c r="J277" s="16" t="s">
        <v>124</v>
      </c>
      <c r="K277" s="16" t="s">
        <v>125</v>
      </c>
      <c r="L277" s="15">
        <v>-332.71611586127824</v>
      </c>
      <c r="M277" s="15">
        <v>0</v>
      </c>
      <c r="N277" s="15">
        <v>-278.8399999999998</v>
      </c>
      <c r="O277" s="15">
        <v>-53.876115861278436</v>
      </c>
      <c r="P277" s="15">
        <v>0</v>
      </c>
      <c r="Q277" s="15">
        <f t="shared" si="17"/>
        <v>0</v>
      </c>
      <c r="R277" s="15">
        <v>0</v>
      </c>
      <c r="S277" s="15">
        <f t="shared" si="18"/>
        <v>0</v>
      </c>
      <c r="T277" s="16"/>
      <c r="U277" s="16"/>
    </row>
    <row r="278" spans="1:21" hidden="1" x14ac:dyDescent="0.25">
      <c r="A278" s="16" t="s">
        <v>37</v>
      </c>
      <c r="B278" s="16" t="s">
        <v>261</v>
      </c>
      <c r="C278" s="16" t="s">
        <v>262</v>
      </c>
      <c r="D278" s="16" t="s">
        <v>100</v>
      </c>
      <c r="E278" s="16" t="s">
        <v>101</v>
      </c>
      <c r="F278" s="16" t="s">
        <v>156</v>
      </c>
      <c r="G278" s="16" t="s">
        <v>157</v>
      </c>
      <c r="H278" s="16" t="s">
        <v>85</v>
      </c>
      <c r="I278" s="16" t="s">
        <v>40</v>
      </c>
      <c r="J278" s="16" t="s">
        <v>124</v>
      </c>
      <c r="K278" s="16" t="s">
        <v>125</v>
      </c>
      <c r="L278" s="15">
        <v>-2657.5101595999995</v>
      </c>
      <c r="M278" s="15">
        <v>0</v>
      </c>
      <c r="N278" s="15">
        <v>-2629.4092247296003</v>
      </c>
      <c r="O278" s="15">
        <v>-28.10093487039984</v>
      </c>
      <c r="P278" s="15">
        <v>0</v>
      </c>
      <c r="Q278" s="15">
        <f t="shared" si="17"/>
        <v>0</v>
      </c>
      <c r="R278" s="15">
        <v>0</v>
      </c>
      <c r="S278" s="15">
        <f t="shared" si="18"/>
        <v>0</v>
      </c>
      <c r="T278" s="16"/>
      <c r="U278" s="16"/>
    </row>
    <row r="279" spans="1:21" hidden="1" x14ac:dyDescent="0.25">
      <c r="A279" s="16" t="s">
        <v>37</v>
      </c>
      <c r="B279" s="16" t="s">
        <v>257</v>
      </c>
      <c r="C279" s="16" t="s">
        <v>258</v>
      </c>
      <c r="D279" s="16" t="s">
        <v>100</v>
      </c>
      <c r="E279" s="16" t="s">
        <v>101</v>
      </c>
      <c r="F279" s="16" t="s">
        <v>156</v>
      </c>
      <c r="G279" s="16" t="s">
        <v>157</v>
      </c>
      <c r="H279" s="16" t="s">
        <v>85</v>
      </c>
      <c r="I279" s="16" t="s">
        <v>40</v>
      </c>
      <c r="J279" s="16" t="s">
        <v>124</v>
      </c>
      <c r="K279" s="16" t="s">
        <v>125</v>
      </c>
      <c r="L279" s="15">
        <v>-178.12910000000002</v>
      </c>
      <c r="M279" s="15">
        <v>0</v>
      </c>
      <c r="N279" s="15">
        <v>-134.864924</v>
      </c>
      <c r="O279" s="15">
        <v>-43.264176000000006</v>
      </c>
      <c r="P279" s="15">
        <v>0</v>
      </c>
      <c r="Q279" s="15">
        <f t="shared" si="17"/>
        <v>0</v>
      </c>
      <c r="R279" s="15">
        <v>0</v>
      </c>
      <c r="S279" s="15">
        <f t="shared" si="18"/>
        <v>0</v>
      </c>
      <c r="T279" s="16"/>
      <c r="U279" s="26"/>
    </row>
    <row r="280" spans="1:21" hidden="1" x14ac:dyDescent="0.25">
      <c r="A280" s="16" t="s">
        <v>37</v>
      </c>
      <c r="B280" s="16" t="s">
        <v>257</v>
      </c>
      <c r="C280" s="16" t="s">
        <v>258</v>
      </c>
      <c r="D280" s="16" t="s">
        <v>100</v>
      </c>
      <c r="E280" s="16" t="s">
        <v>101</v>
      </c>
      <c r="F280" s="16" t="s">
        <v>156</v>
      </c>
      <c r="G280" s="16" t="s">
        <v>157</v>
      </c>
      <c r="H280" s="16" t="s">
        <v>85</v>
      </c>
      <c r="I280" s="16" t="s">
        <v>40</v>
      </c>
      <c r="J280" s="16" t="s">
        <v>298</v>
      </c>
      <c r="K280" s="16" t="s">
        <v>299</v>
      </c>
      <c r="L280" s="15">
        <v>-6197.5597686400006</v>
      </c>
      <c r="M280" s="15">
        <v>-253.79738400000011</v>
      </c>
      <c r="N280" s="15">
        <v>-3933.2913476599997</v>
      </c>
      <c r="O280" s="15">
        <v>-2264.2684209799986</v>
      </c>
      <c r="P280" s="15">
        <v>-2264.2684209799986</v>
      </c>
      <c r="Q280" s="15">
        <f t="shared" si="17"/>
        <v>-2264.2684209799986</v>
      </c>
      <c r="R280" s="15">
        <v>0</v>
      </c>
      <c r="S280" s="15">
        <f t="shared" si="18"/>
        <v>-2264.2684209799986</v>
      </c>
      <c r="T280" s="16"/>
      <c r="U280" s="26"/>
    </row>
    <row r="281" spans="1:21" x14ac:dyDescent="0.25">
      <c r="A281" s="16" t="s">
        <v>37</v>
      </c>
      <c r="B281" s="16" t="s">
        <v>269</v>
      </c>
      <c r="C281" s="16" t="s">
        <v>270</v>
      </c>
      <c r="D281" s="16" t="s">
        <v>100</v>
      </c>
      <c r="E281" s="16" t="s">
        <v>101</v>
      </c>
      <c r="F281" s="16" t="s">
        <v>156</v>
      </c>
      <c r="G281" s="16" t="s">
        <v>157</v>
      </c>
      <c r="H281" s="16" t="s">
        <v>85</v>
      </c>
      <c r="I281" s="16" t="s">
        <v>40</v>
      </c>
      <c r="J281" s="16" t="s">
        <v>132</v>
      </c>
      <c r="K281" s="16" t="s">
        <v>133</v>
      </c>
      <c r="L281" s="15">
        <v>-11223.642949642268</v>
      </c>
      <c r="M281" s="15">
        <v>-11223.642949642268</v>
      </c>
      <c r="N281" s="15">
        <v>-11223.6399979531</v>
      </c>
      <c r="O281" s="15">
        <v>-2.9516891686398594E-3</v>
      </c>
      <c r="P281" s="15">
        <v>0</v>
      </c>
      <c r="Q281" s="15">
        <f t="shared" si="17"/>
        <v>0</v>
      </c>
      <c r="R281" s="15">
        <v>0</v>
      </c>
      <c r="S281" s="15">
        <f t="shared" si="18"/>
        <v>0</v>
      </c>
      <c r="T281" s="16"/>
      <c r="U281" s="16"/>
    </row>
    <row r="282" spans="1:21" x14ac:dyDescent="0.25">
      <c r="A282" s="16" t="s">
        <v>37</v>
      </c>
      <c r="B282" s="16" t="s">
        <v>269</v>
      </c>
      <c r="C282" s="16" t="s">
        <v>270</v>
      </c>
      <c r="D282" s="16" t="s">
        <v>100</v>
      </c>
      <c r="E282" s="16" t="s">
        <v>101</v>
      </c>
      <c r="F282" s="16" t="s">
        <v>156</v>
      </c>
      <c r="G282" s="16" t="s">
        <v>157</v>
      </c>
      <c r="H282" s="16" t="s">
        <v>85</v>
      </c>
      <c r="I282" s="16" t="s">
        <v>40</v>
      </c>
      <c r="J282" s="16" t="s">
        <v>64</v>
      </c>
      <c r="K282" s="16" t="s">
        <v>65</v>
      </c>
      <c r="L282" s="15">
        <v>-17156.401955659559</v>
      </c>
      <c r="M282" s="15">
        <v>0</v>
      </c>
      <c r="N282" s="15">
        <v>-15041.949976164544</v>
      </c>
      <c r="O282" s="15">
        <v>-2114.4519794950102</v>
      </c>
      <c r="P282" s="15">
        <v>-2114.4519794950102</v>
      </c>
      <c r="Q282" s="15">
        <f t="shared" si="17"/>
        <v>-2114.4519794950102</v>
      </c>
      <c r="R282" s="15">
        <v>0</v>
      </c>
      <c r="S282" s="15">
        <f t="shared" si="18"/>
        <v>-2114.4519794950102</v>
      </c>
      <c r="T282" s="16"/>
      <c r="U282" s="16"/>
    </row>
    <row r="283" spans="1:21" x14ac:dyDescent="0.25">
      <c r="A283" s="16" t="s">
        <v>37</v>
      </c>
      <c r="B283" s="16" t="s">
        <v>269</v>
      </c>
      <c r="C283" s="16" t="s">
        <v>270</v>
      </c>
      <c r="D283" s="16" t="s">
        <v>100</v>
      </c>
      <c r="E283" s="16" t="s">
        <v>101</v>
      </c>
      <c r="F283" s="16" t="s">
        <v>156</v>
      </c>
      <c r="G283" s="16" t="s">
        <v>157</v>
      </c>
      <c r="H283" s="16" t="s">
        <v>85</v>
      </c>
      <c r="I283" s="16" t="s">
        <v>40</v>
      </c>
      <c r="J283" s="16" t="s">
        <v>66</v>
      </c>
      <c r="K283" s="16" t="s">
        <v>63</v>
      </c>
      <c r="L283" s="15">
        <v>-5911.1321866264789</v>
      </c>
      <c r="M283" s="15">
        <v>-5911.1321866264789</v>
      </c>
      <c r="N283" s="15">
        <v>-5911.129994987894</v>
      </c>
      <c r="O283" s="15">
        <v>-2.1916385838949282E-3</v>
      </c>
      <c r="P283" s="15">
        <v>0</v>
      </c>
      <c r="Q283" s="15">
        <f t="shared" si="17"/>
        <v>0</v>
      </c>
      <c r="R283" s="15">
        <v>0</v>
      </c>
      <c r="S283" s="15">
        <f t="shared" si="18"/>
        <v>0</v>
      </c>
      <c r="T283" s="16"/>
      <c r="U283" s="16"/>
    </row>
    <row r="284" spans="1:21" hidden="1" x14ac:dyDescent="0.25">
      <c r="A284" s="16" t="s">
        <v>37</v>
      </c>
      <c r="B284" s="16" t="s">
        <v>257</v>
      </c>
      <c r="C284" s="16" t="s">
        <v>258</v>
      </c>
      <c r="D284" s="16" t="s">
        <v>100</v>
      </c>
      <c r="E284" s="16" t="s">
        <v>101</v>
      </c>
      <c r="F284" s="16" t="s">
        <v>156</v>
      </c>
      <c r="G284" s="16" t="s">
        <v>157</v>
      </c>
      <c r="H284" s="16" t="s">
        <v>85</v>
      </c>
      <c r="I284" s="16" t="s">
        <v>40</v>
      </c>
      <c r="J284" s="16" t="s">
        <v>67</v>
      </c>
      <c r="K284" s="16" t="s">
        <v>68</v>
      </c>
      <c r="L284" s="15">
        <v>-3765</v>
      </c>
      <c r="M284" s="15">
        <v>0</v>
      </c>
      <c r="N284" s="15">
        <v>0</v>
      </c>
      <c r="O284" s="15">
        <v>-3765</v>
      </c>
      <c r="P284" s="15">
        <v>-3765</v>
      </c>
      <c r="Q284" s="15">
        <f t="shared" si="17"/>
        <v>-3765</v>
      </c>
      <c r="R284" s="15">
        <v>0</v>
      </c>
      <c r="S284" s="15">
        <f t="shared" si="18"/>
        <v>-3765</v>
      </c>
      <c r="T284" s="16"/>
      <c r="U284" s="26"/>
    </row>
    <row r="285" spans="1:21" x14ac:dyDescent="0.25">
      <c r="A285" s="16" t="s">
        <v>37</v>
      </c>
      <c r="B285" s="16" t="s">
        <v>269</v>
      </c>
      <c r="C285" s="16" t="s">
        <v>270</v>
      </c>
      <c r="D285" s="16" t="s">
        <v>100</v>
      </c>
      <c r="E285" s="16" t="s">
        <v>101</v>
      </c>
      <c r="F285" s="16" t="s">
        <v>156</v>
      </c>
      <c r="G285" s="16" t="s">
        <v>157</v>
      </c>
      <c r="H285" s="16" t="s">
        <v>85</v>
      </c>
      <c r="I285" s="16" t="s">
        <v>40</v>
      </c>
      <c r="J285" s="16" t="s">
        <v>69</v>
      </c>
      <c r="K285" s="16" t="s">
        <v>70</v>
      </c>
      <c r="L285" s="15">
        <v>-250.66932205931988</v>
      </c>
      <c r="M285" s="15">
        <v>-250.66932205931988</v>
      </c>
      <c r="N285" s="15">
        <v>-250.66999955519418</v>
      </c>
      <c r="O285" s="15">
        <v>6.7749587428522773E-4</v>
      </c>
      <c r="P285" s="15">
        <v>0</v>
      </c>
      <c r="Q285" s="15">
        <f t="shared" si="17"/>
        <v>0</v>
      </c>
      <c r="R285" s="15">
        <v>0</v>
      </c>
      <c r="S285" s="15">
        <f t="shared" si="18"/>
        <v>0</v>
      </c>
      <c r="T285" s="16"/>
      <c r="U285" s="15">
        <f t="shared" ref="U285:U287" si="19">O285</f>
        <v>6.7749587428522773E-4</v>
      </c>
    </row>
    <row r="286" spans="1:21" hidden="1" x14ac:dyDescent="0.25">
      <c r="A286" s="16" t="s">
        <v>37</v>
      </c>
      <c r="B286" s="16" t="s">
        <v>261</v>
      </c>
      <c r="C286" s="16" t="s">
        <v>262</v>
      </c>
      <c r="D286" s="16" t="s">
        <v>100</v>
      </c>
      <c r="E286" s="16" t="s">
        <v>101</v>
      </c>
      <c r="F286" s="16" t="s">
        <v>156</v>
      </c>
      <c r="G286" s="16" t="s">
        <v>157</v>
      </c>
      <c r="H286" s="16" t="s">
        <v>85</v>
      </c>
      <c r="I286" s="16" t="s">
        <v>40</v>
      </c>
      <c r="J286" s="16" t="s">
        <v>69</v>
      </c>
      <c r="K286" s="16" t="s">
        <v>70</v>
      </c>
      <c r="L286" s="15">
        <v>-187.07999995999998</v>
      </c>
      <c r="M286" s="15">
        <v>-187.07999999999998</v>
      </c>
      <c r="N286" s="15">
        <v>-224.5008</v>
      </c>
      <c r="O286" s="15">
        <v>37.420800040000003</v>
      </c>
      <c r="P286" s="15">
        <v>0</v>
      </c>
      <c r="Q286" s="15">
        <f t="shared" si="17"/>
        <v>0</v>
      </c>
      <c r="R286" s="15">
        <v>0</v>
      </c>
      <c r="S286" s="15">
        <f t="shared" si="18"/>
        <v>0</v>
      </c>
      <c r="T286" s="16"/>
      <c r="U286" s="15">
        <f t="shared" si="19"/>
        <v>37.420800040000003</v>
      </c>
    </row>
    <row r="287" spans="1:21" hidden="1" x14ac:dyDescent="0.25">
      <c r="A287" s="16" t="s">
        <v>37</v>
      </c>
      <c r="B287" s="16" t="s">
        <v>257</v>
      </c>
      <c r="C287" s="16" t="s">
        <v>258</v>
      </c>
      <c r="D287" s="16" t="s">
        <v>100</v>
      </c>
      <c r="E287" s="16" t="s">
        <v>101</v>
      </c>
      <c r="F287" s="16" t="s">
        <v>156</v>
      </c>
      <c r="G287" s="16" t="s">
        <v>157</v>
      </c>
      <c r="H287" s="16" t="s">
        <v>85</v>
      </c>
      <c r="I287" s="16" t="s">
        <v>40</v>
      </c>
      <c r="J287" s="16" t="s">
        <v>69</v>
      </c>
      <c r="K287" s="16" t="s">
        <v>70</v>
      </c>
      <c r="L287" s="15">
        <v>-2514.5643339999997</v>
      </c>
      <c r="M287" s="15">
        <v>-2514.5643339999997</v>
      </c>
      <c r="N287" s="15">
        <v>-2482.74016398</v>
      </c>
      <c r="O287" s="15">
        <v>-31.8241700199994</v>
      </c>
      <c r="P287" s="15">
        <v>0</v>
      </c>
      <c r="Q287" s="15">
        <f t="shared" si="17"/>
        <v>0</v>
      </c>
      <c r="R287" s="15">
        <v>0</v>
      </c>
      <c r="S287" s="15">
        <f t="shared" si="18"/>
        <v>0</v>
      </c>
      <c r="T287" s="16"/>
      <c r="U287" s="15">
        <f t="shared" si="19"/>
        <v>-31.8241700199994</v>
      </c>
    </row>
    <row r="288" spans="1:21" hidden="1" x14ac:dyDescent="0.25">
      <c r="A288" s="16" t="s">
        <v>37</v>
      </c>
      <c r="B288" s="16" t="s">
        <v>257</v>
      </c>
      <c r="C288" s="16" t="s">
        <v>258</v>
      </c>
      <c r="D288" s="16" t="s">
        <v>100</v>
      </c>
      <c r="E288" s="16" t="s">
        <v>101</v>
      </c>
      <c r="F288" s="16" t="s">
        <v>156</v>
      </c>
      <c r="G288" s="16" t="s">
        <v>157</v>
      </c>
      <c r="H288" s="16" t="s">
        <v>85</v>
      </c>
      <c r="I288" s="16" t="s">
        <v>40</v>
      </c>
      <c r="J288" s="16" t="s">
        <v>136</v>
      </c>
      <c r="K288" s="16" t="s">
        <v>137</v>
      </c>
      <c r="L288" s="15">
        <v>-54046.000000000022</v>
      </c>
      <c r="M288" s="15">
        <v>0</v>
      </c>
      <c r="N288" s="15">
        <v>-54046</v>
      </c>
      <c r="O288" s="15">
        <v>-2.1827872842550278E-11</v>
      </c>
      <c r="P288" s="15">
        <v>-2.1827872842550278E-11</v>
      </c>
      <c r="Q288" s="15">
        <f t="shared" si="17"/>
        <v>-2.1827872842550278E-11</v>
      </c>
      <c r="R288" s="15">
        <v>0</v>
      </c>
      <c r="S288" s="15">
        <f t="shared" si="18"/>
        <v>-2.1827872842550278E-11</v>
      </c>
      <c r="T288" s="16"/>
      <c r="U288" s="26"/>
    </row>
    <row r="289" spans="1:21" x14ac:dyDescent="0.25">
      <c r="A289" s="16" t="s">
        <v>37</v>
      </c>
      <c r="B289" s="16" t="s">
        <v>269</v>
      </c>
      <c r="C289" s="16" t="s">
        <v>270</v>
      </c>
      <c r="D289" s="16" t="s">
        <v>100</v>
      </c>
      <c r="E289" s="16" t="s">
        <v>101</v>
      </c>
      <c r="F289" s="16" t="s">
        <v>158</v>
      </c>
      <c r="G289" s="16" t="s">
        <v>159</v>
      </c>
      <c r="H289" s="16" t="s">
        <v>85</v>
      </c>
      <c r="I289" s="16" t="s">
        <v>40</v>
      </c>
      <c r="J289" s="16" t="s">
        <v>38</v>
      </c>
      <c r="K289" s="16" t="s">
        <v>293</v>
      </c>
      <c r="L289" s="15">
        <v>-350670.35651756753</v>
      </c>
      <c r="M289" s="15">
        <v>-3346.7410996034696</v>
      </c>
      <c r="N289" s="15">
        <v>-425937.79893713398</v>
      </c>
      <c r="O289" s="15">
        <v>75267.442419566491</v>
      </c>
      <c r="P289" s="15">
        <f>O289</f>
        <v>75267.442419566491</v>
      </c>
      <c r="Q289" s="15">
        <f>P289-R289-75267</f>
        <v>0.44241956649057101</v>
      </c>
      <c r="R289" s="15">
        <v>0</v>
      </c>
      <c r="S289" s="15">
        <f t="shared" si="18"/>
        <v>0.44241956649057101</v>
      </c>
      <c r="T289" s="16"/>
      <c r="U289" s="16"/>
    </row>
    <row r="290" spans="1:21" hidden="1" x14ac:dyDescent="0.25">
      <c r="A290" s="16" t="s">
        <v>37</v>
      </c>
      <c r="B290" s="16" t="s">
        <v>265</v>
      </c>
      <c r="C290" s="16" t="s">
        <v>266</v>
      </c>
      <c r="D290" s="16" t="s">
        <v>100</v>
      </c>
      <c r="E290" s="16" t="s">
        <v>101</v>
      </c>
      <c r="F290" s="16" t="s">
        <v>158</v>
      </c>
      <c r="G290" s="16" t="s">
        <v>159</v>
      </c>
      <c r="H290" s="16" t="s">
        <v>85</v>
      </c>
      <c r="I290" s="16" t="s">
        <v>40</v>
      </c>
      <c r="J290" s="16" t="s">
        <v>38</v>
      </c>
      <c r="K290" s="16" t="s">
        <v>293</v>
      </c>
      <c r="L290" s="15">
        <v>-2281138.3601105814</v>
      </c>
      <c r="M290" s="15">
        <v>-184794.28027333718</v>
      </c>
      <c r="N290" s="15">
        <v>-1950742.3369407523</v>
      </c>
      <c r="O290" s="15">
        <v>-330396.02316982858</v>
      </c>
      <c r="P290" s="15">
        <v>-330396.02316982858</v>
      </c>
      <c r="Q290" s="15">
        <f t="shared" si="17"/>
        <v>-330396.02316982858</v>
      </c>
      <c r="R290" s="15">
        <v>0</v>
      </c>
      <c r="S290" s="15">
        <f t="shared" si="18"/>
        <v>-330396.02316982858</v>
      </c>
      <c r="T290" s="16"/>
      <c r="U290" s="16"/>
    </row>
    <row r="291" spans="1:21" hidden="1" x14ac:dyDescent="0.25">
      <c r="A291" s="16" t="s">
        <v>37</v>
      </c>
      <c r="B291" s="16" t="s">
        <v>261</v>
      </c>
      <c r="C291" s="16" t="s">
        <v>262</v>
      </c>
      <c r="D291" s="16" t="s">
        <v>100</v>
      </c>
      <c r="E291" s="16" t="s">
        <v>101</v>
      </c>
      <c r="F291" s="16" t="s">
        <v>158</v>
      </c>
      <c r="G291" s="16" t="s">
        <v>159</v>
      </c>
      <c r="H291" s="16" t="s">
        <v>85</v>
      </c>
      <c r="I291" s="16" t="s">
        <v>40</v>
      </c>
      <c r="J291" s="16" t="s">
        <v>38</v>
      </c>
      <c r="K291" s="16" t="s">
        <v>293</v>
      </c>
      <c r="L291" s="15">
        <v>-2006909.5633346019</v>
      </c>
      <c r="M291" s="15">
        <v>-302105.9800000001</v>
      </c>
      <c r="N291" s="15">
        <v>-1761084.6034512641</v>
      </c>
      <c r="O291" s="15">
        <v>-245824.95988333825</v>
      </c>
      <c r="P291" s="15">
        <v>-245824.95988333825</v>
      </c>
      <c r="Q291" s="15">
        <f t="shared" si="17"/>
        <v>-245824.95988333825</v>
      </c>
      <c r="R291" s="15">
        <v>0</v>
      </c>
      <c r="S291" s="15">
        <f t="shared" si="18"/>
        <v>-245824.95988333825</v>
      </c>
      <c r="T291" s="16"/>
      <c r="U291" s="16"/>
    </row>
    <row r="292" spans="1:21" hidden="1" x14ac:dyDescent="0.25">
      <c r="A292" s="16" t="s">
        <v>37</v>
      </c>
      <c r="B292" s="16" t="s">
        <v>257</v>
      </c>
      <c r="C292" s="16" t="s">
        <v>258</v>
      </c>
      <c r="D292" s="16" t="s">
        <v>100</v>
      </c>
      <c r="E292" s="16" t="s">
        <v>101</v>
      </c>
      <c r="F292" s="16" t="s">
        <v>158</v>
      </c>
      <c r="G292" s="16" t="s">
        <v>159</v>
      </c>
      <c r="H292" s="16" t="s">
        <v>85</v>
      </c>
      <c r="I292" s="16" t="s">
        <v>40</v>
      </c>
      <c r="J292" s="16" t="s">
        <v>38</v>
      </c>
      <c r="K292" s="16" t="s">
        <v>293</v>
      </c>
      <c r="L292" s="15">
        <v>-8192376.3632892268</v>
      </c>
      <c r="M292" s="15">
        <v>-1316791.2857990065</v>
      </c>
      <c r="N292" s="15">
        <v>-4239680.8200947586</v>
      </c>
      <c r="O292" s="15">
        <v>-3952695.5431944667</v>
      </c>
      <c r="P292" s="15">
        <v>-3952695.5431944667</v>
      </c>
      <c r="Q292" s="15">
        <f>P292-R292+P289</f>
        <v>-3877428.1007749001</v>
      </c>
      <c r="R292" s="15">
        <v>0</v>
      </c>
      <c r="S292" s="15">
        <f t="shared" si="18"/>
        <v>-3877428.1007749001</v>
      </c>
      <c r="T292" s="16"/>
      <c r="U292" s="26"/>
    </row>
    <row r="293" spans="1:21" hidden="1" x14ac:dyDescent="0.25">
      <c r="A293" s="16" t="s">
        <v>37</v>
      </c>
      <c r="B293" s="16" t="s">
        <v>257</v>
      </c>
      <c r="C293" s="16" t="s">
        <v>258</v>
      </c>
      <c r="D293" s="16" t="s">
        <v>100</v>
      </c>
      <c r="E293" s="16" t="s">
        <v>101</v>
      </c>
      <c r="F293" s="16" t="s">
        <v>158</v>
      </c>
      <c r="G293" s="16" t="s">
        <v>159</v>
      </c>
      <c r="H293" s="16" t="s">
        <v>85</v>
      </c>
      <c r="I293" s="16" t="s">
        <v>40</v>
      </c>
      <c r="J293" s="16" t="s">
        <v>142</v>
      </c>
      <c r="K293" s="16" t="s">
        <v>143</v>
      </c>
      <c r="L293" s="15">
        <v>-8696843.3640000001</v>
      </c>
      <c r="M293" s="15">
        <v>-4230201.5</v>
      </c>
      <c r="N293" s="15">
        <v>-2948427.13</v>
      </c>
      <c r="O293" s="15">
        <v>-5748416.2340000002</v>
      </c>
      <c r="P293" s="15">
        <v>-4466641.8640000001</v>
      </c>
      <c r="Q293" s="15">
        <f t="shared" si="17"/>
        <v>-4466641.8640000001</v>
      </c>
      <c r="R293" s="15">
        <v>0</v>
      </c>
      <c r="S293" s="15">
        <f t="shared" si="18"/>
        <v>-4466641.8640000001</v>
      </c>
      <c r="T293" s="16"/>
      <c r="U293" s="26"/>
    </row>
    <row r="294" spans="1:21" x14ac:dyDescent="0.25">
      <c r="A294" s="16" t="s">
        <v>37</v>
      </c>
      <c r="B294" s="16" t="s">
        <v>269</v>
      </c>
      <c r="C294" s="16" t="s">
        <v>270</v>
      </c>
      <c r="D294" s="16" t="s">
        <v>100</v>
      </c>
      <c r="E294" s="16" t="s">
        <v>101</v>
      </c>
      <c r="F294" s="16" t="s">
        <v>158</v>
      </c>
      <c r="G294" s="16" t="s">
        <v>159</v>
      </c>
      <c r="H294" s="16" t="s">
        <v>85</v>
      </c>
      <c r="I294" s="16" t="s">
        <v>40</v>
      </c>
      <c r="J294" s="16" t="s">
        <v>130</v>
      </c>
      <c r="K294" s="16" t="s">
        <v>131</v>
      </c>
      <c r="L294" s="15">
        <v>-17758.650000061316</v>
      </c>
      <c r="M294" s="15">
        <v>-17758.650000061316</v>
      </c>
      <c r="N294" s="15">
        <v>0</v>
      </c>
      <c r="O294" s="15">
        <v>-17758.650000061316</v>
      </c>
      <c r="P294" s="15">
        <v>-17758.650000061316</v>
      </c>
      <c r="Q294" s="15">
        <f t="shared" si="17"/>
        <v>-17758.650000061316</v>
      </c>
      <c r="R294" s="15">
        <v>0</v>
      </c>
      <c r="S294" s="15">
        <f t="shared" si="18"/>
        <v>-17758.650000061316</v>
      </c>
      <c r="T294" s="16"/>
      <c r="U294" s="16"/>
    </row>
    <row r="295" spans="1:21" hidden="1" x14ac:dyDescent="0.25">
      <c r="A295" s="16" t="s">
        <v>37</v>
      </c>
      <c r="B295" s="16" t="s">
        <v>257</v>
      </c>
      <c r="C295" s="16" t="s">
        <v>258</v>
      </c>
      <c r="D295" s="16" t="s">
        <v>100</v>
      </c>
      <c r="E295" s="16" t="s">
        <v>101</v>
      </c>
      <c r="F295" s="16" t="s">
        <v>158</v>
      </c>
      <c r="G295" s="16" t="s">
        <v>159</v>
      </c>
      <c r="H295" s="16" t="s">
        <v>85</v>
      </c>
      <c r="I295" s="16" t="s">
        <v>40</v>
      </c>
      <c r="J295" s="16" t="s">
        <v>296</v>
      </c>
      <c r="K295" s="16" t="s">
        <v>297</v>
      </c>
      <c r="L295" s="15">
        <v>-7015.7269882530982</v>
      </c>
      <c r="M295" s="15">
        <v>-164.99519215000001</v>
      </c>
      <c r="N295" s="15">
        <v>-6760.75792</v>
      </c>
      <c r="O295" s="15">
        <v>-254.96906825309998</v>
      </c>
      <c r="P295" s="15">
        <v>-254.96906825309998</v>
      </c>
      <c r="Q295" s="15">
        <f t="shared" si="17"/>
        <v>-254.96906825309998</v>
      </c>
      <c r="R295" s="15">
        <v>0</v>
      </c>
      <c r="S295" s="15">
        <f t="shared" si="18"/>
        <v>-254.96906825309998</v>
      </c>
      <c r="T295" s="16"/>
      <c r="U295" s="26"/>
    </row>
    <row r="296" spans="1:21" x14ac:dyDescent="0.25">
      <c r="A296" s="16" t="s">
        <v>37</v>
      </c>
      <c r="B296" s="16" t="s">
        <v>269</v>
      </c>
      <c r="C296" s="16" t="s">
        <v>270</v>
      </c>
      <c r="D296" s="16" t="s">
        <v>100</v>
      </c>
      <c r="E296" s="16" t="s">
        <v>101</v>
      </c>
      <c r="F296" s="16" t="s">
        <v>158</v>
      </c>
      <c r="G296" s="16" t="s">
        <v>159</v>
      </c>
      <c r="H296" s="16" t="s">
        <v>85</v>
      </c>
      <c r="I296" s="16" t="s">
        <v>40</v>
      </c>
      <c r="J296" s="16" t="s">
        <v>124</v>
      </c>
      <c r="K296" s="16" t="s">
        <v>125</v>
      </c>
      <c r="L296" s="15">
        <v>-1748.581094210097</v>
      </c>
      <c r="M296" s="15">
        <v>0</v>
      </c>
      <c r="N296" s="15">
        <v>-1251.7799999999991</v>
      </c>
      <c r="O296" s="15">
        <v>-496.8010942100974</v>
      </c>
      <c r="P296" s="15">
        <v>0</v>
      </c>
      <c r="Q296" s="15">
        <f t="shared" si="17"/>
        <v>0</v>
      </c>
      <c r="R296" s="15">
        <v>0</v>
      </c>
      <c r="S296" s="15">
        <f t="shared" si="18"/>
        <v>0</v>
      </c>
      <c r="T296" s="16"/>
      <c r="U296" s="16"/>
    </row>
    <row r="297" spans="1:21" hidden="1" x14ac:dyDescent="0.25">
      <c r="A297" s="16" t="s">
        <v>37</v>
      </c>
      <c r="B297" s="16" t="s">
        <v>265</v>
      </c>
      <c r="C297" s="16" t="s">
        <v>266</v>
      </c>
      <c r="D297" s="16" t="s">
        <v>100</v>
      </c>
      <c r="E297" s="16" t="s">
        <v>101</v>
      </c>
      <c r="F297" s="16" t="s">
        <v>158</v>
      </c>
      <c r="G297" s="16" t="s">
        <v>159</v>
      </c>
      <c r="H297" s="16" t="s">
        <v>85</v>
      </c>
      <c r="I297" s="16" t="s">
        <v>40</v>
      </c>
      <c r="J297" s="16" t="s">
        <v>124</v>
      </c>
      <c r="K297" s="16" t="s">
        <v>125</v>
      </c>
      <c r="L297" s="15">
        <v>-167100.34283386247</v>
      </c>
      <c r="M297" s="15">
        <v>0</v>
      </c>
      <c r="N297" s="15">
        <v>-133652.98158624273</v>
      </c>
      <c r="O297" s="15">
        <v>-33447.361247619694</v>
      </c>
      <c r="P297" s="15">
        <v>0</v>
      </c>
      <c r="Q297" s="15">
        <f t="shared" si="17"/>
        <v>0</v>
      </c>
      <c r="R297" s="15">
        <v>0</v>
      </c>
      <c r="S297" s="15">
        <f t="shared" si="18"/>
        <v>0</v>
      </c>
      <c r="T297" s="16"/>
      <c r="U297" s="16"/>
    </row>
    <row r="298" spans="1:21" hidden="1" x14ac:dyDescent="0.25">
      <c r="A298" s="16" t="s">
        <v>37</v>
      </c>
      <c r="B298" s="16" t="s">
        <v>261</v>
      </c>
      <c r="C298" s="16" t="s">
        <v>262</v>
      </c>
      <c r="D298" s="16" t="s">
        <v>100</v>
      </c>
      <c r="E298" s="16" t="s">
        <v>101</v>
      </c>
      <c r="F298" s="16" t="s">
        <v>158</v>
      </c>
      <c r="G298" s="16" t="s">
        <v>159</v>
      </c>
      <c r="H298" s="16" t="s">
        <v>85</v>
      </c>
      <c r="I298" s="16" t="s">
        <v>40</v>
      </c>
      <c r="J298" s="16" t="s">
        <v>124</v>
      </c>
      <c r="K298" s="16" t="s">
        <v>125</v>
      </c>
      <c r="L298" s="15">
        <v>-96214.07520580999</v>
      </c>
      <c r="M298" s="15">
        <v>0</v>
      </c>
      <c r="N298" s="15">
        <v>-78653.756737646414</v>
      </c>
      <c r="O298" s="15">
        <v>-17560.31846816359</v>
      </c>
      <c r="P298" s="15">
        <v>0</v>
      </c>
      <c r="Q298" s="15">
        <f t="shared" si="17"/>
        <v>0</v>
      </c>
      <c r="R298" s="15">
        <v>0</v>
      </c>
      <c r="S298" s="15">
        <f t="shared" si="18"/>
        <v>0</v>
      </c>
      <c r="T298" s="16"/>
      <c r="U298" s="16"/>
    </row>
    <row r="299" spans="1:21" hidden="1" x14ac:dyDescent="0.25">
      <c r="A299" s="16" t="s">
        <v>37</v>
      </c>
      <c r="B299" s="16" t="s">
        <v>257</v>
      </c>
      <c r="C299" s="16" t="s">
        <v>258</v>
      </c>
      <c r="D299" s="16" t="s">
        <v>100</v>
      </c>
      <c r="E299" s="16" t="s">
        <v>101</v>
      </c>
      <c r="F299" s="16" t="s">
        <v>158</v>
      </c>
      <c r="G299" s="16" t="s">
        <v>159</v>
      </c>
      <c r="H299" s="16" t="s">
        <v>85</v>
      </c>
      <c r="I299" s="16" t="s">
        <v>40</v>
      </c>
      <c r="J299" s="16" t="s">
        <v>124</v>
      </c>
      <c r="K299" s="16" t="s">
        <v>125</v>
      </c>
      <c r="L299" s="15">
        <v>-199.56049999999999</v>
      </c>
      <c r="M299" s="15">
        <v>0</v>
      </c>
      <c r="N299" s="15">
        <v>-151.10341399999999</v>
      </c>
      <c r="O299" s="15">
        <v>-48.45708599999999</v>
      </c>
      <c r="P299" s="15">
        <v>0</v>
      </c>
      <c r="Q299" s="15">
        <f t="shared" si="17"/>
        <v>0</v>
      </c>
      <c r="R299" s="15">
        <v>0</v>
      </c>
      <c r="S299" s="15">
        <f t="shared" si="18"/>
        <v>0</v>
      </c>
      <c r="T299" s="16"/>
      <c r="U299" s="26"/>
    </row>
    <row r="300" spans="1:21" hidden="1" x14ac:dyDescent="0.25">
      <c r="A300" s="16" t="s">
        <v>37</v>
      </c>
      <c r="B300" s="16" t="s">
        <v>257</v>
      </c>
      <c r="C300" s="16" t="s">
        <v>258</v>
      </c>
      <c r="D300" s="16" t="s">
        <v>100</v>
      </c>
      <c r="E300" s="16" t="s">
        <v>101</v>
      </c>
      <c r="F300" s="16" t="s">
        <v>158</v>
      </c>
      <c r="G300" s="16" t="s">
        <v>159</v>
      </c>
      <c r="H300" s="16" t="s">
        <v>85</v>
      </c>
      <c r="I300" s="16" t="s">
        <v>40</v>
      </c>
      <c r="J300" s="16" t="s">
        <v>298</v>
      </c>
      <c r="K300" s="16" t="s">
        <v>299</v>
      </c>
      <c r="L300" s="15">
        <v>-11163.688846320003</v>
      </c>
      <c r="M300" s="15">
        <v>-456.9778740000001</v>
      </c>
      <c r="N300" s="15">
        <v>-7078.3110736617982</v>
      </c>
      <c r="O300" s="15">
        <v>-4085.3777726582034</v>
      </c>
      <c r="P300" s="15">
        <v>-4085.3777726582034</v>
      </c>
      <c r="Q300" s="15">
        <f t="shared" si="17"/>
        <v>-4085.3777726582034</v>
      </c>
      <c r="R300" s="15">
        <v>0</v>
      </c>
      <c r="S300" s="15">
        <f t="shared" si="18"/>
        <v>-4085.3777726582034</v>
      </c>
      <c r="T300" s="16"/>
      <c r="U300" s="26"/>
    </row>
    <row r="301" spans="1:21" x14ac:dyDescent="0.25">
      <c r="A301" s="16" t="s">
        <v>37</v>
      </c>
      <c r="B301" s="16" t="s">
        <v>269</v>
      </c>
      <c r="C301" s="16" t="s">
        <v>270</v>
      </c>
      <c r="D301" s="16" t="s">
        <v>100</v>
      </c>
      <c r="E301" s="16" t="s">
        <v>101</v>
      </c>
      <c r="F301" s="16" t="s">
        <v>158</v>
      </c>
      <c r="G301" s="16" t="s">
        <v>159</v>
      </c>
      <c r="H301" s="16" t="s">
        <v>85</v>
      </c>
      <c r="I301" s="16" t="s">
        <v>40</v>
      </c>
      <c r="J301" s="16" t="s">
        <v>132</v>
      </c>
      <c r="K301" s="16" t="s">
        <v>133</v>
      </c>
      <c r="L301" s="15">
        <v>-48281.162778849706</v>
      </c>
      <c r="M301" s="15">
        <v>-48281.162778849706</v>
      </c>
      <c r="N301" s="15">
        <v>-48281.169991194765</v>
      </c>
      <c r="O301" s="15">
        <v>7.212345067273418E-3</v>
      </c>
      <c r="P301" s="15">
        <v>0</v>
      </c>
      <c r="Q301" s="15">
        <f t="shared" si="17"/>
        <v>0</v>
      </c>
      <c r="R301" s="15">
        <v>0</v>
      </c>
      <c r="S301" s="15">
        <f t="shared" si="18"/>
        <v>0</v>
      </c>
      <c r="T301" s="16"/>
      <c r="U301" s="16"/>
    </row>
    <row r="302" spans="1:21" x14ac:dyDescent="0.25">
      <c r="A302" s="16" t="s">
        <v>37</v>
      </c>
      <c r="B302" s="16" t="s">
        <v>269</v>
      </c>
      <c r="C302" s="16" t="s">
        <v>270</v>
      </c>
      <c r="D302" s="16" t="s">
        <v>100</v>
      </c>
      <c r="E302" s="16" t="s">
        <v>101</v>
      </c>
      <c r="F302" s="16" t="s">
        <v>158</v>
      </c>
      <c r="G302" s="16" t="s">
        <v>159</v>
      </c>
      <c r="H302" s="16" t="s">
        <v>85</v>
      </c>
      <c r="I302" s="16" t="s">
        <v>40</v>
      </c>
      <c r="J302" s="16" t="s">
        <v>64</v>
      </c>
      <c r="K302" s="16" t="s">
        <v>65</v>
      </c>
      <c r="L302" s="15">
        <v>-104248.26447450178</v>
      </c>
      <c r="M302" s="15">
        <v>0</v>
      </c>
      <c r="N302" s="15">
        <v>-97748.279845108191</v>
      </c>
      <c r="O302" s="15">
        <v>-6499.9846293935816</v>
      </c>
      <c r="P302" s="15">
        <v>-6499.9846293935816</v>
      </c>
      <c r="Q302" s="15">
        <f t="shared" si="17"/>
        <v>-6499.9846293935816</v>
      </c>
      <c r="R302" s="15">
        <v>0</v>
      </c>
      <c r="S302" s="15">
        <f t="shared" si="18"/>
        <v>-6499.9846293935816</v>
      </c>
      <c r="T302" s="16"/>
      <c r="U302" s="16"/>
    </row>
    <row r="303" spans="1:21" x14ac:dyDescent="0.25">
      <c r="A303" s="16" t="s">
        <v>37</v>
      </c>
      <c r="B303" s="16" t="s">
        <v>269</v>
      </c>
      <c r="C303" s="16" t="s">
        <v>270</v>
      </c>
      <c r="D303" s="16" t="s">
        <v>100</v>
      </c>
      <c r="E303" s="16" t="s">
        <v>101</v>
      </c>
      <c r="F303" s="16" t="s">
        <v>158</v>
      </c>
      <c r="G303" s="16" t="s">
        <v>159</v>
      </c>
      <c r="H303" s="16" t="s">
        <v>85</v>
      </c>
      <c r="I303" s="16" t="s">
        <v>40</v>
      </c>
      <c r="J303" s="16" t="s">
        <v>66</v>
      </c>
      <c r="K303" s="16" t="s">
        <v>63</v>
      </c>
      <c r="L303" s="15">
        <v>-50363.076552686252</v>
      </c>
      <c r="M303" s="15">
        <v>-50363.076552686252</v>
      </c>
      <c r="N303" s="15">
        <v>-50363.059957296675</v>
      </c>
      <c r="O303" s="15">
        <v>-1.6595389580288611E-2</v>
      </c>
      <c r="P303" s="15">
        <v>0</v>
      </c>
      <c r="Q303" s="15">
        <f t="shared" si="17"/>
        <v>0</v>
      </c>
      <c r="R303" s="15">
        <v>0</v>
      </c>
      <c r="S303" s="15">
        <f t="shared" si="18"/>
        <v>0</v>
      </c>
      <c r="T303" s="16"/>
      <c r="U303" s="16"/>
    </row>
    <row r="304" spans="1:21" x14ac:dyDescent="0.25">
      <c r="A304" s="16" t="s">
        <v>37</v>
      </c>
      <c r="B304" s="16" t="s">
        <v>269</v>
      </c>
      <c r="C304" s="16" t="s">
        <v>270</v>
      </c>
      <c r="D304" s="16" t="s">
        <v>100</v>
      </c>
      <c r="E304" s="16" t="s">
        <v>101</v>
      </c>
      <c r="F304" s="16" t="s">
        <v>158</v>
      </c>
      <c r="G304" s="16" t="s">
        <v>159</v>
      </c>
      <c r="H304" s="16" t="s">
        <v>85</v>
      </c>
      <c r="I304" s="16" t="s">
        <v>40</v>
      </c>
      <c r="J304" s="16" t="s">
        <v>67</v>
      </c>
      <c r="K304" s="16" t="s">
        <v>68</v>
      </c>
      <c r="L304" s="15">
        <v>-2100</v>
      </c>
      <c r="M304" s="15">
        <v>0</v>
      </c>
      <c r="N304" s="15">
        <v>-2012.33</v>
      </c>
      <c r="O304" s="15">
        <v>-87.670000000000073</v>
      </c>
      <c r="P304" s="15">
        <v>-87.670000000000073</v>
      </c>
      <c r="Q304" s="15">
        <f t="shared" si="17"/>
        <v>-87.670000000000073</v>
      </c>
      <c r="R304" s="15">
        <v>0</v>
      </c>
      <c r="S304" s="15">
        <f t="shared" si="18"/>
        <v>-87.670000000000073</v>
      </c>
      <c r="T304" s="16"/>
      <c r="U304" s="16"/>
    </row>
    <row r="305" spans="1:21" hidden="1" x14ac:dyDescent="0.25">
      <c r="A305" s="16" t="s">
        <v>37</v>
      </c>
      <c r="B305" s="16" t="s">
        <v>257</v>
      </c>
      <c r="C305" s="16" t="s">
        <v>258</v>
      </c>
      <c r="D305" s="16" t="s">
        <v>100</v>
      </c>
      <c r="E305" s="16" t="s">
        <v>101</v>
      </c>
      <c r="F305" s="16" t="s">
        <v>158</v>
      </c>
      <c r="G305" s="16" t="s">
        <v>159</v>
      </c>
      <c r="H305" s="16" t="s">
        <v>85</v>
      </c>
      <c r="I305" s="16" t="s">
        <v>40</v>
      </c>
      <c r="J305" s="16" t="s">
        <v>67</v>
      </c>
      <c r="K305" s="16" t="s">
        <v>68</v>
      </c>
      <c r="L305" s="15">
        <v>-6454.9999999999991</v>
      </c>
      <c r="M305" s="15">
        <v>0</v>
      </c>
      <c r="N305" s="15">
        <v>0</v>
      </c>
      <c r="O305" s="15">
        <v>-6454.9999999999991</v>
      </c>
      <c r="P305" s="15">
        <v>-6454.9999999999991</v>
      </c>
      <c r="Q305" s="15">
        <f t="shared" si="17"/>
        <v>-6454.9999999999991</v>
      </c>
      <c r="R305" s="15">
        <v>0</v>
      </c>
      <c r="S305" s="15">
        <f t="shared" si="18"/>
        <v>-6454.9999999999991</v>
      </c>
      <c r="T305" s="16"/>
      <c r="U305" s="26"/>
    </row>
    <row r="306" spans="1:21" x14ac:dyDescent="0.25">
      <c r="A306" s="16" t="s">
        <v>37</v>
      </c>
      <c r="B306" s="16" t="s">
        <v>269</v>
      </c>
      <c r="C306" s="16" t="s">
        <v>270</v>
      </c>
      <c r="D306" s="16" t="s">
        <v>100</v>
      </c>
      <c r="E306" s="16" t="s">
        <v>101</v>
      </c>
      <c r="F306" s="16" t="s">
        <v>158</v>
      </c>
      <c r="G306" s="16" t="s">
        <v>159</v>
      </c>
      <c r="H306" s="16" t="s">
        <v>85</v>
      </c>
      <c r="I306" s="16" t="s">
        <v>40</v>
      </c>
      <c r="J306" s="16" t="s">
        <v>69</v>
      </c>
      <c r="K306" s="16" t="s">
        <v>70</v>
      </c>
      <c r="L306" s="15">
        <v>-2083.5078108136386</v>
      </c>
      <c r="M306" s="15">
        <v>-2083.5078108136386</v>
      </c>
      <c r="N306" s="15">
        <v>-2083.5099963028792</v>
      </c>
      <c r="O306" s="15">
        <v>2.1854892401904635E-3</v>
      </c>
      <c r="P306" s="15">
        <v>0</v>
      </c>
      <c r="Q306" s="15">
        <f t="shared" si="17"/>
        <v>0</v>
      </c>
      <c r="R306" s="15">
        <v>0</v>
      </c>
      <c r="S306" s="15">
        <f t="shared" si="18"/>
        <v>0</v>
      </c>
      <c r="T306" s="16"/>
      <c r="U306" s="15">
        <f t="shared" ref="U306:U308" si="20">O306</f>
        <v>2.1854892401904635E-3</v>
      </c>
    </row>
    <row r="307" spans="1:21" hidden="1" x14ac:dyDescent="0.25">
      <c r="A307" s="16" t="s">
        <v>37</v>
      </c>
      <c r="B307" s="16" t="s">
        <v>261</v>
      </c>
      <c r="C307" s="16" t="s">
        <v>262</v>
      </c>
      <c r="D307" s="16" t="s">
        <v>100</v>
      </c>
      <c r="E307" s="16" t="s">
        <v>101</v>
      </c>
      <c r="F307" s="16" t="s">
        <v>158</v>
      </c>
      <c r="G307" s="16" t="s">
        <v>159</v>
      </c>
      <c r="H307" s="16" t="s">
        <v>85</v>
      </c>
      <c r="I307" s="16" t="s">
        <v>40</v>
      </c>
      <c r="J307" s="16" t="s">
        <v>69</v>
      </c>
      <c r="K307" s="16" t="s">
        <v>70</v>
      </c>
      <c r="L307" s="15">
        <v>-9443.0799979809999</v>
      </c>
      <c r="M307" s="15">
        <v>-9443.08</v>
      </c>
      <c r="N307" s="15">
        <v>-9737.7222000000002</v>
      </c>
      <c r="O307" s="15">
        <v>294.64220201900116</v>
      </c>
      <c r="P307" s="15">
        <v>0</v>
      </c>
      <c r="Q307" s="15">
        <f t="shared" si="17"/>
        <v>0</v>
      </c>
      <c r="R307" s="15">
        <v>0</v>
      </c>
      <c r="S307" s="15">
        <f t="shared" si="18"/>
        <v>0</v>
      </c>
      <c r="T307" s="16"/>
      <c r="U307" s="15">
        <f t="shared" si="20"/>
        <v>294.64220201900116</v>
      </c>
    </row>
    <row r="308" spans="1:21" hidden="1" x14ac:dyDescent="0.25">
      <c r="A308" s="16" t="s">
        <v>37</v>
      </c>
      <c r="B308" s="16" t="s">
        <v>257</v>
      </c>
      <c r="C308" s="16" t="s">
        <v>258</v>
      </c>
      <c r="D308" s="16" t="s">
        <v>100</v>
      </c>
      <c r="E308" s="16" t="s">
        <v>101</v>
      </c>
      <c r="F308" s="16" t="s">
        <v>158</v>
      </c>
      <c r="G308" s="16" t="s">
        <v>159</v>
      </c>
      <c r="H308" s="16" t="s">
        <v>85</v>
      </c>
      <c r="I308" s="16" t="s">
        <v>40</v>
      </c>
      <c r="J308" s="16" t="s">
        <v>69</v>
      </c>
      <c r="K308" s="16" t="s">
        <v>70</v>
      </c>
      <c r="L308" s="15">
        <v>-4301.723524</v>
      </c>
      <c r="M308" s="15">
        <v>-4301.723524</v>
      </c>
      <c r="N308" s="15">
        <v>-4247.2811782800018</v>
      </c>
      <c r="O308" s="15">
        <v>-54.442345719998684</v>
      </c>
      <c r="P308" s="15">
        <v>0</v>
      </c>
      <c r="Q308" s="15">
        <f t="shared" si="17"/>
        <v>0</v>
      </c>
      <c r="R308" s="15">
        <v>0</v>
      </c>
      <c r="S308" s="15">
        <f t="shared" si="18"/>
        <v>0</v>
      </c>
      <c r="T308" s="16"/>
      <c r="U308" s="15">
        <f t="shared" si="20"/>
        <v>-54.442345719998684</v>
      </c>
    </row>
    <row r="309" spans="1:21" hidden="1" x14ac:dyDescent="0.25">
      <c r="A309" s="16" t="s">
        <v>37</v>
      </c>
      <c r="B309" s="16" t="s">
        <v>257</v>
      </c>
      <c r="C309" s="16" t="s">
        <v>258</v>
      </c>
      <c r="D309" s="16" t="s">
        <v>100</v>
      </c>
      <c r="E309" s="16" t="s">
        <v>101</v>
      </c>
      <c r="F309" s="16" t="s">
        <v>158</v>
      </c>
      <c r="G309" s="16" t="s">
        <v>159</v>
      </c>
      <c r="H309" s="16" t="s">
        <v>85</v>
      </c>
      <c r="I309" s="16" t="s">
        <v>40</v>
      </c>
      <c r="J309" s="16" t="s">
        <v>136</v>
      </c>
      <c r="K309" s="16" t="s">
        <v>137</v>
      </c>
      <c r="L309" s="15">
        <v>-60558.100000000035</v>
      </c>
      <c r="M309" s="15">
        <v>0</v>
      </c>
      <c r="N309" s="15">
        <v>-60558.100000000006</v>
      </c>
      <c r="O309" s="15">
        <v>-3.092281986027956E-11</v>
      </c>
      <c r="P309" s="15">
        <v>-3.092281986027956E-11</v>
      </c>
      <c r="Q309" s="15">
        <f t="shared" si="17"/>
        <v>-3.092281986027956E-11</v>
      </c>
      <c r="R309" s="15">
        <v>0</v>
      </c>
      <c r="S309" s="15">
        <f t="shared" si="18"/>
        <v>-3.092281986027956E-11</v>
      </c>
      <c r="T309" s="16"/>
      <c r="U309" s="26"/>
    </row>
    <row r="310" spans="1:21" hidden="1" x14ac:dyDescent="0.25">
      <c r="A310" s="16" t="s">
        <v>37</v>
      </c>
      <c r="B310" s="16" t="s">
        <v>265</v>
      </c>
      <c r="C310" s="16" t="s">
        <v>266</v>
      </c>
      <c r="D310" s="16" t="s">
        <v>100</v>
      </c>
      <c r="E310" s="16" t="s">
        <v>101</v>
      </c>
      <c r="F310" s="16" t="s">
        <v>158</v>
      </c>
      <c r="G310" s="16" t="s">
        <v>159</v>
      </c>
      <c r="H310" s="16" t="s">
        <v>85</v>
      </c>
      <c r="I310" s="16" t="s">
        <v>40</v>
      </c>
      <c r="J310" s="16" t="s">
        <v>138</v>
      </c>
      <c r="K310" s="16" t="s">
        <v>139</v>
      </c>
      <c r="L310" s="15">
        <v>-1844.5306047294632</v>
      </c>
      <c r="M310" s="15">
        <v>0</v>
      </c>
      <c r="N310" s="15">
        <v>-1844.530604729463</v>
      </c>
      <c r="O310" s="15">
        <v>-7.815970093361102E-14</v>
      </c>
      <c r="P310" s="15">
        <v>0</v>
      </c>
      <c r="Q310" s="15">
        <f t="shared" si="17"/>
        <v>0</v>
      </c>
      <c r="R310" s="15">
        <v>0</v>
      </c>
      <c r="S310" s="15">
        <f t="shared" si="18"/>
        <v>0</v>
      </c>
      <c r="T310" s="16"/>
      <c r="U310" s="16"/>
    </row>
    <row r="311" spans="1:21" x14ac:dyDescent="0.25">
      <c r="A311" s="16" t="s">
        <v>37</v>
      </c>
      <c r="B311" s="16" t="s">
        <v>269</v>
      </c>
      <c r="C311" s="16" t="s">
        <v>270</v>
      </c>
      <c r="D311" s="16" t="s">
        <v>100</v>
      </c>
      <c r="E311" s="16" t="s">
        <v>101</v>
      </c>
      <c r="F311" s="16" t="s">
        <v>160</v>
      </c>
      <c r="G311" s="16" t="s">
        <v>161</v>
      </c>
      <c r="H311" s="16" t="s">
        <v>85</v>
      </c>
      <c r="I311" s="16" t="s">
        <v>40</v>
      </c>
      <c r="J311" s="16" t="s">
        <v>38</v>
      </c>
      <c r="K311" s="16" t="s">
        <v>293</v>
      </c>
      <c r="L311" s="15">
        <v>-758714.28776314389</v>
      </c>
      <c r="M311" s="15">
        <v>-74929.96640269905</v>
      </c>
      <c r="N311" s="15">
        <v>-643323.870134025</v>
      </c>
      <c r="O311" s="15">
        <v>-115390.41762911901</v>
      </c>
      <c r="P311" s="15">
        <v>-115390.41762911901</v>
      </c>
      <c r="Q311" s="15">
        <f>P311+115390</f>
        <v>-0.41762911900877953</v>
      </c>
      <c r="R311" s="15">
        <v>0</v>
      </c>
      <c r="S311" s="15">
        <f t="shared" si="18"/>
        <v>-0.41762911900877953</v>
      </c>
      <c r="T311" s="16"/>
      <c r="U311" s="16"/>
    </row>
    <row r="312" spans="1:21" hidden="1" x14ac:dyDescent="0.25">
      <c r="A312" s="16" t="s">
        <v>37</v>
      </c>
      <c r="B312" s="16" t="s">
        <v>265</v>
      </c>
      <c r="C312" s="16" t="s">
        <v>266</v>
      </c>
      <c r="D312" s="16" t="s">
        <v>100</v>
      </c>
      <c r="E312" s="16" t="s">
        <v>101</v>
      </c>
      <c r="F312" s="16" t="s">
        <v>160</v>
      </c>
      <c r="G312" s="16" t="s">
        <v>161</v>
      </c>
      <c r="H312" s="16" t="s">
        <v>85</v>
      </c>
      <c r="I312" s="16" t="s">
        <v>40</v>
      </c>
      <c r="J312" s="16" t="s">
        <v>38</v>
      </c>
      <c r="K312" s="16" t="s">
        <v>293</v>
      </c>
      <c r="L312" s="15">
        <v>-7211899.9464389114</v>
      </c>
      <c r="M312" s="15">
        <v>-830951.00000000012</v>
      </c>
      <c r="N312" s="15">
        <v>-6251350.177001833</v>
      </c>
      <c r="O312" s="15">
        <v>-960549.76943707652</v>
      </c>
      <c r="P312" s="15">
        <v>-960549.76943707652</v>
      </c>
      <c r="Q312" s="15">
        <f t="shared" si="17"/>
        <v>-960549.76943707652</v>
      </c>
      <c r="R312" s="15">
        <v>0</v>
      </c>
      <c r="S312" s="15">
        <f t="shared" si="18"/>
        <v>-960549.76943707652</v>
      </c>
      <c r="T312" s="16"/>
      <c r="U312" s="16"/>
    </row>
    <row r="313" spans="1:21" hidden="1" x14ac:dyDescent="0.25">
      <c r="A313" s="16" t="s">
        <v>37</v>
      </c>
      <c r="B313" s="16" t="s">
        <v>261</v>
      </c>
      <c r="C313" s="16" t="s">
        <v>262</v>
      </c>
      <c r="D313" s="16" t="s">
        <v>100</v>
      </c>
      <c r="E313" s="16" t="s">
        <v>101</v>
      </c>
      <c r="F313" s="16" t="s">
        <v>160</v>
      </c>
      <c r="G313" s="16" t="s">
        <v>161</v>
      </c>
      <c r="H313" s="16" t="s">
        <v>85</v>
      </c>
      <c r="I313" s="16" t="s">
        <v>40</v>
      </c>
      <c r="J313" s="16" t="s">
        <v>38</v>
      </c>
      <c r="K313" s="16" t="s">
        <v>293</v>
      </c>
      <c r="L313" s="15">
        <v>-1001257.1595100525</v>
      </c>
      <c r="M313" s="15">
        <v>-88.32</v>
      </c>
      <c r="N313" s="15">
        <v>-981154.79403050733</v>
      </c>
      <c r="O313" s="15">
        <v>-20102.365479545435</v>
      </c>
      <c r="P313" s="15">
        <v>-20102.365479545435</v>
      </c>
      <c r="Q313" s="15">
        <f t="shared" si="17"/>
        <v>-20102.365479545435</v>
      </c>
      <c r="R313" s="15">
        <v>0</v>
      </c>
      <c r="S313" s="15">
        <f t="shared" si="18"/>
        <v>-20102.365479545435</v>
      </c>
      <c r="T313" s="16"/>
      <c r="U313" s="16"/>
    </row>
    <row r="314" spans="1:21" hidden="1" x14ac:dyDescent="0.25">
      <c r="A314" s="16" t="s">
        <v>37</v>
      </c>
      <c r="B314" s="16" t="s">
        <v>257</v>
      </c>
      <c r="C314" s="16" t="s">
        <v>258</v>
      </c>
      <c r="D314" s="16" t="s">
        <v>100</v>
      </c>
      <c r="E314" s="16" t="s">
        <v>101</v>
      </c>
      <c r="F314" s="16" t="s">
        <v>160</v>
      </c>
      <c r="G314" s="16" t="s">
        <v>161</v>
      </c>
      <c r="H314" s="16" t="s">
        <v>85</v>
      </c>
      <c r="I314" s="16" t="s">
        <v>40</v>
      </c>
      <c r="J314" s="16" t="s">
        <v>38</v>
      </c>
      <c r="K314" s="16" t="s">
        <v>293</v>
      </c>
      <c r="L314" s="15">
        <v>-2597604.3775692745</v>
      </c>
      <c r="M314" s="15">
        <v>-676917.35105543374</v>
      </c>
      <c r="N314" s="15">
        <v>-1809766.96387624</v>
      </c>
      <c r="O314" s="15">
        <v>-787837.41369303502</v>
      </c>
      <c r="P314" s="15">
        <v>-787837.41369303502</v>
      </c>
      <c r="Q314" s="15">
        <f>P314-R314+P311</f>
        <v>-903227.83132215403</v>
      </c>
      <c r="R314" s="15">
        <v>0</v>
      </c>
      <c r="S314" s="15">
        <f t="shared" si="18"/>
        <v>-903227.83132215403</v>
      </c>
      <c r="T314" s="16"/>
      <c r="U314" s="26"/>
    </row>
    <row r="315" spans="1:21" hidden="1" x14ac:dyDescent="0.25">
      <c r="A315" s="16" t="s">
        <v>37</v>
      </c>
      <c r="B315" s="16" t="s">
        <v>257</v>
      </c>
      <c r="C315" s="16" t="s">
        <v>258</v>
      </c>
      <c r="D315" s="16" t="s">
        <v>100</v>
      </c>
      <c r="E315" s="16" t="s">
        <v>101</v>
      </c>
      <c r="F315" s="16" t="s">
        <v>160</v>
      </c>
      <c r="G315" s="16" t="s">
        <v>161</v>
      </c>
      <c r="H315" s="16" t="s">
        <v>85</v>
      </c>
      <c r="I315" s="16" t="s">
        <v>40</v>
      </c>
      <c r="J315" s="16" t="s">
        <v>300</v>
      </c>
      <c r="K315" s="16" t="s">
        <v>301</v>
      </c>
      <c r="L315" s="15">
        <v>-8050.8474576271183</v>
      </c>
      <c r="M315" s="15">
        <v>0</v>
      </c>
      <c r="N315" s="15">
        <v>-13050.850000000002</v>
      </c>
      <c r="O315" s="15">
        <v>5000.0025423728821</v>
      </c>
      <c r="P315" s="15">
        <f>O315</f>
        <v>5000.0025423728821</v>
      </c>
      <c r="Q315" s="15">
        <v>0</v>
      </c>
      <c r="R315" s="15">
        <v>0</v>
      </c>
      <c r="S315" s="15">
        <f t="shared" si="18"/>
        <v>0</v>
      </c>
      <c r="T315" s="16"/>
      <c r="U315" s="26"/>
    </row>
    <row r="316" spans="1:21" hidden="1" x14ac:dyDescent="0.25">
      <c r="A316" s="16" t="s">
        <v>37</v>
      </c>
      <c r="B316" s="16" t="s">
        <v>257</v>
      </c>
      <c r="C316" s="16" t="s">
        <v>258</v>
      </c>
      <c r="D316" s="16" t="s">
        <v>100</v>
      </c>
      <c r="E316" s="16" t="s">
        <v>101</v>
      </c>
      <c r="F316" s="16" t="s">
        <v>160</v>
      </c>
      <c r="G316" s="16" t="s">
        <v>161</v>
      </c>
      <c r="H316" s="16" t="s">
        <v>85</v>
      </c>
      <c r="I316" s="16" t="s">
        <v>40</v>
      </c>
      <c r="J316" s="16" t="s">
        <v>142</v>
      </c>
      <c r="K316" s="16" t="s">
        <v>143</v>
      </c>
      <c r="L316" s="15">
        <v>-9151.155999999999</v>
      </c>
      <c r="M316" s="15">
        <v>0</v>
      </c>
      <c r="N316" s="15">
        <v>0</v>
      </c>
      <c r="O316" s="15">
        <v>-9151.155999999999</v>
      </c>
      <c r="P316" s="15">
        <v>-9151.155999999999</v>
      </c>
      <c r="Q316" s="15">
        <f t="shared" si="17"/>
        <v>-9151.155999999999</v>
      </c>
      <c r="R316" s="15">
        <v>0</v>
      </c>
      <c r="S316" s="15">
        <f t="shared" si="18"/>
        <v>-9151.155999999999</v>
      </c>
      <c r="T316" s="16"/>
      <c r="U316" s="26"/>
    </row>
    <row r="317" spans="1:21" x14ac:dyDescent="0.25">
      <c r="A317" s="16" t="s">
        <v>37</v>
      </c>
      <c r="B317" s="16" t="s">
        <v>269</v>
      </c>
      <c r="C317" s="16" t="s">
        <v>270</v>
      </c>
      <c r="D317" s="16" t="s">
        <v>100</v>
      </c>
      <c r="E317" s="16" t="s">
        <v>101</v>
      </c>
      <c r="F317" s="16" t="s">
        <v>160</v>
      </c>
      <c r="G317" s="16" t="s">
        <v>161</v>
      </c>
      <c r="H317" s="16" t="s">
        <v>85</v>
      </c>
      <c r="I317" s="16" t="s">
        <v>40</v>
      </c>
      <c r="J317" s="16" t="s">
        <v>130</v>
      </c>
      <c r="K317" s="16" t="s">
        <v>131</v>
      </c>
      <c r="L317" s="15">
        <v>-37370.020000129021</v>
      </c>
      <c r="M317" s="15">
        <v>-37370.020000129021</v>
      </c>
      <c r="N317" s="15">
        <v>-31244</v>
      </c>
      <c r="O317" s="15">
        <v>-6126.0200001290232</v>
      </c>
      <c r="P317" s="15">
        <v>-6126.0200001290232</v>
      </c>
      <c r="Q317" s="15">
        <f t="shared" si="17"/>
        <v>-6126.0200001290232</v>
      </c>
      <c r="R317" s="15">
        <v>0</v>
      </c>
      <c r="S317" s="15">
        <f t="shared" si="18"/>
        <v>-6126.0200001290232</v>
      </c>
      <c r="T317" s="16"/>
      <c r="U317" s="16"/>
    </row>
    <row r="318" spans="1:21" hidden="1" x14ac:dyDescent="0.25">
      <c r="A318" s="16" t="s">
        <v>37</v>
      </c>
      <c r="B318" s="16" t="s">
        <v>257</v>
      </c>
      <c r="C318" s="16" t="s">
        <v>258</v>
      </c>
      <c r="D318" s="16" t="s">
        <v>100</v>
      </c>
      <c r="E318" s="16" t="s">
        <v>101</v>
      </c>
      <c r="F318" s="16" t="s">
        <v>160</v>
      </c>
      <c r="G318" s="16" t="s">
        <v>161</v>
      </c>
      <c r="H318" s="16" t="s">
        <v>85</v>
      </c>
      <c r="I318" s="16" t="s">
        <v>40</v>
      </c>
      <c r="J318" s="16" t="s">
        <v>296</v>
      </c>
      <c r="K318" s="16" t="s">
        <v>297</v>
      </c>
      <c r="L318" s="15">
        <v>-74122.2099432994</v>
      </c>
      <c r="M318" s="15">
        <v>-3168.3332761000001</v>
      </c>
      <c r="N318" s="15">
        <v>-73904.209575999994</v>
      </c>
      <c r="O318" s="15">
        <v>-218.00036729940621</v>
      </c>
      <c r="P318" s="15">
        <v>-218.00036729940621</v>
      </c>
      <c r="Q318" s="15">
        <f t="shared" si="17"/>
        <v>-218.00036729940621</v>
      </c>
      <c r="R318" s="15">
        <v>0</v>
      </c>
      <c r="S318" s="15">
        <f t="shared" si="18"/>
        <v>-218.00036729940621</v>
      </c>
      <c r="T318" s="16"/>
      <c r="U318" s="26"/>
    </row>
    <row r="319" spans="1:21" x14ac:dyDescent="0.25">
      <c r="A319" s="16" t="s">
        <v>37</v>
      </c>
      <c r="B319" s="16" t="s">
        <v>269</v>
      </c>
      <c r="C319" s="16" t="s">
        <v>270</v>
      </c>
      <c r="D319" s="16" t="s">
        <v>100</v>
      </c>
      <c r="E319" s="16" t="s">
        <v>101</v>
      </c>
      <c r="F319" s="16" t="s">
        <v>160</v>
      </c>
      <c r="G319" s="16" t="s">
        <v>161</v>
      </c>
      <c r="H319" s="16" t="s">
        <v>85</v>
      </c>
      <c r="I319" s="16" t="s">
        <v>40</v>
      </c>
      <c r="J319" s="16" t="s">
        <v>124</v>
      </c>
      <c r="K319" s="16" t="s">
        <v>125</v>
      </c>
      <c r="L319" s="15">
        <v>-2642.4256773969646</v>
      </c>
      <c r="M319" s="15">
        <v>0</v>
      </c>
      <c r="N319" s="15">
        <v>-1827.0099999999989</v>
      </c>
      <c r="O319" s="15">
        <v>-815.41567739696575</v>
      </c>
      <c r="P319" s="15">
        <v>0</v>
      </c>
      <c r="Q319" s="15">
        <f t="shared" si="17"/>
        <v>0</v>
      </c>
      <c r="R319" s="15">
        <v>0</v>
      </c>
      <c r="S319" s="15">
        <f t="shared" si="18"/>
        <v>0</v>
      </c>
      <c r="T319" s="16"/>
      <c r="U319" s="16"/>
    </row>
    <row r="320" spans="1:21" hidden="1" x14ac:dyDescent="0.25">
      <c r="A320" s="16" t="s">
        <v>37</v>
      </c>
      <c r="B320" s="16" t="s">
        <v>265</v>
      </c>
      <c r="C320" s="16" t="s">
        <v>266</v>
      </c>
      <c r="D320" s="16" t="s">
        <v>100</v>
      </c>
      <c r="E320" s="16" t="s">
        <v>101</v>
      </c>
      <c r="F320" s="16" t="s">
        <v>160</v>
      </c>
      <c r="G320" s="16" t="s">
        <v>161</v>
      </c>
      <c r="H320" s="16" t="s">
        <v>85</v>
      </c>
      <c r="I320" s="16" t="s">
        <v>40</v>
      </c>
      <c r="J320" s="16" t="s">
        <v>124</v>
      </c>
      <c r="K320" s="16" t="s">
        <v>125</v>
      </c>
      <c r="L320" s="15">
        <v>-597783.81376678299</v>
      </c>
      <c r="M320" s="15">
        <v>0</v>
      </c>
      <c r="N320" s="15">
        <v>-466905.43004973268</v>
      </c>
      <c r="O320" s="15">
        <v>-130878.38371705041</v>
      </c>
      <c r="P320" s="15">
        <v>0</v>
      </c>
      <c r="Q320" s="15">
        <f t="shared" si="17"/>
        <v>0</v>
      </c>
      <c r="R320" s="15">
        <v>0</v>
      </c>
      <c r="S320" s="15">
        <f t="shared" si="18"/>
        <v>0</v>
      </c>
      <c r="T320" s="16"/>
      <c r="U320" s="16"/>
    </row>
    <row r="321" spans="1:21" hidden="1" x14ac:dyDescent="0.25">
      <c r="A321" s="16" t="s">
        <v>37</v>
      </c>
      <c r="B321" s="16" t="s">
        <v>261</v>
      </c>
      <c r="C321" s="16" t="s">
        <v>262</v>
      </c>
      <c r="D321" s="16" t="s">
        <v>100</v>
      </c>
      <c r="E321" s="16" t="s">
        <v>101</v>
      </c>
      <c r="F321" s="16" t="s">
        <v>160</v>
      </c>
      <c r="G321" s="16" t="s">
        <v>161</v>
      </c>
      <c r="H321" s="16" t="s">
        <v>85</v>
      </c>
      <c r="I321" s="16" t="s">
        <v>40</v>
      </c>
      <c r="J321" s="16" t="s">
        <v>124</v>
      </c>
      <c r="K321" s="16" t="s">
        <v>125</v>
      </c>
      <c r="L321" s="15">
        <v>-61624.329715939995</v>
      </c>
      <c r="M321" s="15">
        <v>0</v>
      </c>
      <c r="N321" s="15">
        <v>-50414.320611345596</v>
      </c>
      <c r="O321" s="15">
        <v>-11210.009104594392</v>
      </c>
      <c r="P321" s="15">
        <v>0</v>
      </c>
      <c r="Q321" s="15">
        <f t="shared" si="17"/>
        <v>0</v>
      </c>
      <c r="R321" s="15">
        <v>0</v>
      </c>
      <c r="S321" s="15">
        <f t="shared" si="18"/>
        <v>0</v>
      </c>
      <c r="T321" s="16"/>
      <c r="U321" s="16"/>
    </row>
    <row r="322" spans="1:21" hidden="1" x14ac:dyDescent="0.25">
      <c r="A322" s="16" t="s">
        <v>37</v>
      </c>
      <c r="B322" s="16" t="s">
        <v>257</v>
      </c>
      <c r="C322" s="16" t="s">
        <v>258</v>
      </c>
      <c r="D322" s="16" t="s">
        <v>100</v>
      </c>
      <c r="E322" s="16" t="s">
        <v>101</v>
      </c>
      <c r="F322" s="16" t="s">
        <v>160</v>
      </c>
      <c r="G322" s="16" t="s">
        <v>161</v>
      </c>
      <c r="H322" s="16" t="s">
        <v>85</v>
      </c>
      <c r="I322" s="16" t="s">
        <v>40</v>
      </c>
      <c r="J322" s="16" t="s">
        <v>124</v>
      </c>
      <c r="K322" s="16" t="s">
        <v>125</v>
      </c>
      <c r="L322" s="15">
        <v>-142.56540000000001</v>
      </c>
      <c r="M322" s="15">
        <v>0</v>
      </c>
      <c r="N322" s="15">
        <v>-107.914728</v>
      </c>
      <c r="O322" s="15">
        <v>-34.650672000000007</v>
      </c>
      <c r="P322" s="15">
        <v>0</v>
      </c>
      <c r="Q322" s="15">
        <f t="shared" si="17"/>
        <v>0</v>
      </c>
      <c r="R322" s="15">
        <v>0</v>
      </c>
      <c r="S322" s="15">
        <f t="shared" si="18"/>
        <v>0</v>
      </c>
      <c r="T322" s="16"/>
      <c r="U322" s="26"/>
    </row>
    <row r="323" spans="1:21" hidden="1" x14ac:dyDescent="0.25">
      <c r="A323" s="16" t="s">
        <v>37</v>
      </c>
      <c r="B323" s="16" t="s">
        <v>257</v>
      </c>
      <c r="C323" s="16" t="s">
        <v>258</v>
      </c>
      <c r="D323" s="16" t="s">
        <v>100</v>
      </c>
      <c r="E323" s="16" t="s">
        <v>101</v>
      </c>
      <c r="F323" s="16" t="s">
        <v>160</v>
      </c>
      <c r="G323" s="16" t="s">
        <v>161</v>
      </c>
      <c r="H323" s="16" t="s">
        <v>85</v>
      </c>
      <c r="I323" s="16" t="s">
        <v>40</v>
      </c>
      <c r="J323" s="16" t="s">
        <v>298</v>
      </c>
      <c r="K323" s="16" t="s">
        <v>299</v>
      </c>
      <c r="L323" s="15">
        <v>-11038.288648640002</v>
      </c>
      <c r="M323" s="15">
        <v>-451.98747600000013</v>
      </c>
      <c r="N323" s="15">
        <v>-7003.772808710999</v>
      </c>
      <c r="O323" s="15">
        <v>-4034.5158399290044</v>
      </c>
      <c r="P323" s="15">
        <v>-4034.5158399290044</v>
      </c>
      <c r="Q323" s="15">
        <f t="shared" si="17"/>
        <v>-4034.5158399290044</v>
      </c>
      <c r="R323" s="15">
        <v>0</v>
      </c>
      <c r="S323" s="15">
        <f t="shared" si="18"/>
        <v>-4034.5158399290044</v>
      </c>
      <c r="T323" s="16"/>
      <c r="U323" s="26"/>
    </row>
    <row r="324" spans="1:21" x14ac:dyDescent="0.25">
      <c r="A324" s="16" t="s">
        <v>37</v>
      </c>
      <c r="B324" s="16" t="s">
        <v>269</v>
      </c>
      <c r="C324" s="16" t="s">
        <v>270</v>
      </c>
      <c r="D324" s="16" t="s">
        <v>100</v>
      </c>
      <c r="E324" s="16" t="s">
        <v>101</v>
      </c>
      <c r="F324" s="16" t="s">
        <v>160</v>
      </c>
      <c r="G324" s="16" t="s">
        <v>161</v>
      </c>
      <c r="H324" s="16" t="s">
        <v>85</v>
      </c>
      <c r="I324" s="16" t="s">
        <v>40</v>
      </c>
      <c r="J324" s="16" t="s">
        <v>132</v>
      </c>
      <c r="K324" s="16" t="s">
        <v>133</v>
      </c>
      <c r="L324" s="15">
        <v>-72707.093303160771</v>
      </c>
      <c r="M324" s="15">
        <v>-72707.093303160771</v>
      </c>
      <c r="N324" s="15">
        <v>-72707.099986740111</v>
      </c>
      <c r="O324" s="15">
        <v>6.683579344098689E-3</v>
      </c>
      <c r="P324" s="15">
        <v>0</v>
      </c>
      <c r="Q324" s="15">
        <f t="shared" si="17"/>
        <v>0</v>
      </c>
      <c r="R324" s="15">
        <v>0</v>
      </c>
      <c r="S324" s="15">
        <f t="shared" si="18"/>
        <v>0</v>
      </c>
      <c r="T324" s="16"/>
      <c r="U324" s="16"/>
    </row>
    <row r="325" spans="1:21" hidden="1" x14ac:dyDescent="0.25">
      <c r="A325" s="16" t="s">
        <v>37</v>
      </c>
      <c r="B325" s="16" t="s">
        <v>257</v>
      </c>
      <c r="C325" s="16" t="s">
        <v>258</v>
      </c>
      <c r="D325" s="16" t="s">
        <v>100</v>
      </c>
      <c r="E325" s="16" t="s">
        <v>101</v>
      </c>
      <c r="F325" s="16" t="s">
        <v>160</v>
      </c>
      <c r="G325" s="16" t="s">
        <v>161</v>
      </c>
      <c r="H325" s="16" t="s">
        <v>85</v>
      </c>
      <c r="I325" s="16" t="s">
        <v>40</v>
      </c>
      <c r="J325" s="16" t="s">
        <v>302</v>
      </c>
      <c r="K325" s="16" t="s">
        <v>303</v>
      </c>
      <c r="L325" s="15">
        <v>-16949.152521186443</v>
      </c>
      <c r="M325" s="15">
        <v>0</v>
      </c>
      <c r="N325" s="15">
        <v>-16489.92461304348</v>
      </c>
      <c r="O325" s="15">
        <v>-459.22790814296241</v>
      </c>
      <c r="P325" s="15">
        <v>-459.22790814296241</v>
      </c>
      <c r="Q325" s="15">
        <v>0</v>
      </c>
      <c r="R325" s="15">
        <v>0</v>
      </c>
      <c r="S325" s="15">
        <f t="shared" si="18"/>
        <v>0</v>
      </c>
      <c r="T325" s="16"/>
      <c r="U325" s="26"/>
    </row>
    <row r="326" spans="1:21" x14ac:dyDescent="0.25">
      <c r="A326" s="16" t="s">
        <v>37</v>
      </c>
      <c r="B326" s="16" t="s">
        <v>269</v>
      </c>
      <c r="C326" s="16" t="s">
        <v>270</v>
      </c>
      <c r="D326" s="16" t="s">
        <v>100</v>
      </c>
      <c r="E326" s="16" t="s">
        <v>101</v>
      </c>
      <c r="F326" s="16" t="s">
        <v>160</v>
      </c>
      <c r="G326" s="16" t="s">
        <v>161</v>
      </c>
      <c r="H326" s="16" t="s">
        <v>85</v>
      </c>
      <c r="I326" s="16" t="s">
        <v>40</v>
      </c>
      <c r="J326" s="16" t="s">
        <v>64</v>
      </c>
      <c r="K326" s="16" t="s">
        <v>65</v>
      </c>
      <c r="L326" s="15">
        <v>-222953.81658840569</v>
      </c>
      <c r="M326" s="15">
        <v>0</v>
      </c>
      <c r="N326" s="15">
        <v>-216453.81965700755</v>
      </c>
      <c r="O326" s="15">
        <v>-6499.9969313981674</v>
      </c>
      <c r="P326" s="15">
        <v>-6499.9969313981674</v>
      </c>
      <c r="Q326" s="15">
        <f t="shared" si="17"/>
        <v>-6499.9969313981674</v>
      </c>
      <c r="R326" s="15">
        <v>0</v>
      </c>
      <c r="S326" s="15">
        <f t="shared" si="18"/>
        <v>-6499.9969313981674</v>
      </c>
      <c r="T326" s="16"/>
      <c r="U326" s="16"/>
    </row>
    <row r="327" spans="1:21" x14ac:dyDescent="0.25">
      <c r="A327" s="16" t="s">
        <v>37</v>
      </c>
      <c r="B327" s="16" t="s">
        <v>269</v>
      </c>
      <c r="C327" s="16" t="s">
        <v>270</v>
      </c>
      <c r="D327" s="16" t="s">
        <v>100</v>
      </c>
      <c r="E327" s="16" t="s">
        <v>101</v>
      </c>
      <c r="F327" s="16" t="s">
        <v>160</v>
      </c>
      <c r="G327" s="16" t="s">
        <v>161</v>
      </c>
      <c r="H327" s="16" t="s">
        <v>85</v>
      </c>
      <c r="I327" s="16" t="s">
        <v>40</v>
      </c>
      <c r="J327" s="16" t="s">
        <v>66</v>
      </c>
      <c r="K327" s="16" t="s">
        <v>63</v>
      </c>
      <c r="L327" s="15">
        <v>-121482.85338161269</v>
      </c>
      <c r="M327" s="15">
        <v>-121482.85338161269</v>
      </c>
      <c r="N327" s="15">
        <v>-121482.8598969935</v>
      </c>
      <c r="O327" s="15">
        <v>6.5153807981914724E-3</v>
      </c>
      <c r="P327" s="15">
        <v>0</v>
      </c>
      <c r="Q327" s="15">
        <f t="shared" si="17"/>
        <v>0</v>
      </c>
      <c r="R327" s="15">
        <v>0</v>
      </c>
      <c r="S327" s="15">
        <f t="shared" si="18"/>
        <v>0</v>
      </c>
      <c r="T327" s="16"/>
      <c r="U327" s="16"/>
    </row>
    <row r="328" spans="1:21" hidden="1" x14ac:dyDescent="0.25">
      <c r="A328" s="16" t="s">
        <v>37</v>
      </c>
      <c r="B328" s="16" t="s">
        <v>257</v>
      </c>
      <c r="C328" s="16" t="s">
        <v>258</v>
      </c>
      <c r="D328" s="16" t="s">
        <v>100</v>
      </c>
      <c r="E328" s="16" t="s">
        <v>101</v>
      </c>
      <c r="F328" s="16" t="s">
        <v>160</v>
      </c>
      <c r="G328" s="16" t="s">
        <v>161</v>
      </c>
      <c r="H328" s="16" t="s">
        <v>85</v>
      </c>
      <c r="I328" s="16" t="s">
        <v>40</v>
      </c>
      <c r="J328" s="16" t="s">
        <v>67</v>
      </c>
      <c r="K328" s="16" t="s">
        <v>68</v>
      </c>
      <c r="L328" s="15">
        <v>-6245</v>
      </c>
      <c r="M328" s="15">
        <v>0</v>
      </c>
      <c r="N328" s="15">
        <v>0</v>
      </c>
      <c r="O328" s="15">
        <v>-6245</v>
      </c>
      <c r="P328" s="15">
        <v>-6245</v>
      </c>
      <c r="Q328" s="15">
        <f t="shared" si="17"/>
        <v>-6245</v>
      </c>
      <c r="R328" s="15">
        <v>0</v>
      </c>
      <c r="S328" s="15">
        <f t="shared" si="18"/>
        <v>-6245</v>
      </c>
      <c r="T328" s="16"/>
      <c r="U328" s="26"/>
    </row>
    <row r="329" spans="1:21" x14ac:dyDescent="0.25">
      <c r="A329" s="16" t="s">
        <v>37</v>
      </c>
      <c r="B329" s="16" t="s">
        <v>269</v>
      </c>
      <c r="C329" s="16" t="s">
        <v>270</v>
      </c>
      <c r="D329" s="16" t="s">
        <v>100</v>
      </c>
      <c r="E329" s="16" t="s">
        <v>101</v>
      </c>
      <c r="F329" s="16" t="s">
        <v>160</v>
      </c>
      <c r="G329" s="16" t="s">
        <v>161</v>
      </c>
      <c r="H329" s="16" t="s">
        <v>85</v>
      </c>
      <c r="I329" s="16" t="s">
        <v>40</v>
      </c>
      <c r="J329" s="16" t="s">
        <v>69</v>
      </c>
      <c r="K329" s="16" t="s">
        <v>70</v>
      </c>
      <c r="L329" s="15">
        <v>-14502.036135302107</v>
      </c>
      <c r="M329" s="15">
        <v>-14502.036135302107</v>
      </c>
      <c r="N329" s="15">
        <v>-14502.039974266601</v>
      </c>
      <c r="O329" s="15">
        <v>3.8389644942071754E-3</v>
      </c>
      <c r="P329" s="15">
        <v>0</v>
      </c>
      <c r="Q329" s="15">
        <f t="shared" si="17"/>
        <v>0</v>
      </c>
      <c r="R329" s="15">
        <v>0</v>
      </c>
      <c r="S329" s="15">
        <f t="shared" si="18"/>
        <v>0</v>
      </c>
      <c r="T329" s="16"/>
      <c r="U329" s="15">
        <f t="shared" ref="U329:U331" si="21">O329</f>
        <v>3.8389644942071754E-3</v>
      </c>
    </row>
    <row r="330" spans="1:21" hidden="1" x14ac:dyDescent="0.25">
      <c r="A330" s="16" t="s">
        <v>37</v>
      </c>
      <c r="B330" s="16" t="s">
        <v>261</v>
      </c>
      <c r="C330" s="16" t="s">
        <v>262</v>
      </c>
      <c r="D330" s="16" t="s">
        <v>100</v>
      </c>
      <c r="E330" s="16" t="s">
        <v>101</v>
      </c>
      <c r="F330" s="16" t="s">
        <v>160</v>
      </c>
      <c r="G330" s="16" t="s">
        <v>161</v>
      </c>
      <c r="H330" s="16" t="s">
        <v>85</v>
      </c>
      <c r="I330" s="16" t="s">
        <v>40</v>
      </c>
      <c r="J330" s="16" t="s">
        <v>69</v>
      </c>
      <c r="K330" s="16" t="s">
        <v>70</v>
      </c>
      <c r="L330" s="15">
        <v>-3769.7499991939999</v>
      </c>
      <c r="M330" s="15">
        <v>-3769.75</v>
      </c>
      <c r="N330" s="15">
        <v>-4106.4938000000002</v>
      </c>
      <c r="O330" s="15">
        <v>336.74380080600042</v>
      </c>
      <c r="P330" s="15">
        <v>0</v>
      </c>
      <c r="Q330" s="15">
        <f t="shared" si="17"/>
        <v>0</v>
      </c>
      <c r="R330" s="15">
        <v>0</v>
      </c>
      <c r="S330" s="15">
        <f t="shared" si="18"/>
        <v>0</v>
      </c>
      <c r="T330" s="16"/>
      <c r="U330" s="15">
        <f t="shared" si="21"/>
        <v>336.74380080600042</v>
      </c>
    </row>
    <row r="331" spans="1:21" hidden="1" x14ac:dyDescent="0.25">
      <c r="A331" s="16" t="s">
        <v>37</v>
      </c>
      <c r="B331" s="16" t="s">
        <v>257</v>
      </c>
      <c r="C331" s="16" t="s">
        <v>258</v>
      </c>
      <c r="D331" s="16" t="s">
        <v>100</v>
      </c>
      <c r="E331" s="16" t="s">
        <v>101</v>
      </c>
      <c r="F331" s="16" t="s">
        <v>160</v>
      </c>
      <c r="G331" s="16" t="s">
        <v>161</v>
      </c>
      <c r="H331" s="16" t="s">
        <v>85</v>
      </c>
      <c r="I331" s="16" t="s">
        <v>40</v>
      </c>
      <c r="J331" s="16" t="s">
        <v>69</v>
      </c>
      <c r="K331" s="16" t="s">
        <v>70</v>
      </c>
      <c r="L331" s="15">
        <v>-4163.7673759999989</v>
      </c>
      <c r="M331" s="15">
        <v>-4163.7673759999989</v>
      </c>
      <c r="N331" s="15">
        <v>-4111.0709947200003</v>
      </c>
      <c r="O331" s="15">
        <v>-52.696381279999429</v>
      </c>
      <c r="P331" s="15">
        <v>0</v>
      </c>
      <c r="Q331" s="15">
        <f t="shared" si="17"/>
        <v>0</v>
      </c>
      <c r="R331" s="15">
        <v>0</v>
      </c>
      <c r="S331" s="15">
        <f t="shared" si="18"/>
        <v>0</v>
      </c>
      <c r="T331" s="16"/>
      <c r="U331" s="15">
        <f t="shared" si="21"/>
        <v>-52.696381279999429</v>
      </c>
    </row>
    <row r="332" spans="1:21" hidden="1" x14ac:dyDescent="0.25">
      <c r="A332" s="16" t="s">
        <v>37</v>
      </c>
      <c r="B332" s="16" t="s">
        <v>257</v>
      </c>
      <c r="C332" s="16" t="s">
        <v>258</v>
      </c>
      <c r="D332" s="16" t="s">
        <v>100</v>
      </c>
      <c r="E332" s="16" t="s">
        <v>101</v>
      </c>
      <c r="F332" s="16" t="s">
        <v>160</v>
      </c>
      <c r="G332" s="16" t="s">
        <v>161</v>
      </c>
      <c r="H332" s="16" t="s">
        <v>85</v>
      </c>
      <c r="I332" s="16" t="s">
        <v>40</v>
      </c>
      <c r="J332" s="16" t="s">
        <v>136</v>
      </c>
      <c r="K332" s="16" t="s">
        <v>137</v>
      </c>
      <c r="L332" s="15">
        <v>-43236.800000000025</v>
      </c>
      <c r="M332" s="15">
        <v>0</v>
      </c>
      <c r="N332" s="15">
        <v>-43236.800000000003</v>
      </c>
      <c r="O332" s="15">
        <v>-2.1827872842550278E-11</v>
      </c>
      <c r="P332" s="15">
        <v>-2.1827872842550278E-11</v>
      </c>
      <c r="Q332" s="15">
        <f t="shared" ref="Q332:Q395" si="22">P332-R332</f>
        <v>-2.1827872842550278E-11</v>
      </c>
      <c r="R332" s="15">
        <v>0</v>
      </c>
      <c r="S332" s="15">
        <f t="shared" ref="S332:S395" si="23">SUM(Q332:R332)</f>
        <v>-2.1827872842550278E-11</v>
      </c>
      <c r="T332" s="16"/>
      <c r="U332" s="26"/>
    </row>
    <row r="333" spans="1:21" hidden="1" x14ac:dyDescent="0.25">
      <c r="A333" s="16" t="s">
        <v>37</v>
      </c>
      <c r="B333" s="16" t="s">
        <v>265</v>
      </c>
      <c r="C333" s="16" t="s">
        <v>266</v>
      </c>
      <c r="D333" s="16" t="s">
        <v>100</v>
      </c>
      <c r="E333" s="16" t="s">
        <v>101</v>
      </c>
      <c r="F333" s="16" t="s">
        <v>160</v>
      </c>
      <c r="G333" s="16" t="s">
        <v>161</v>
      </c>
      <c r="H333" s="16" t="s">
        <v>85</v>
      </c>
      <c r="I333" s="16" t="s">
        <v>40</v>
      </c>
      <c r="J333" s="16" t="s">
        <v>138</v>
      </c>
      <c r="K333" s="16" t="s">
        <v>139</v>
      </c>
      <c r="L333" s="15">
        <v>-4894.1305205565932</v>
      </c>
      <c r="M333" s="15">
        <v>0</v>
      </c>
      <c r="N333" s="15">
        <v>-4894.1305205565932</v>
      </c>
      <c r="O333" s="15">
        <v>-2.2737367544323206E-13</v>
      </c>
      <c r="P333" s="15">
        <v>0</v>
      </c>
      <c r="Q333" s="15">
        <f t="shared" si="22"/>
        <v>0</v>
      </c>
      <c r="R333" s="15">
        <v>0</v>
      </c>
      <c r="S333" s="15">
        <f t="shared" si="23"/>
        <v>0</v>
      </c>
      <c r="T333" s="16"/>
      <c r="U333" s="16"/>
    </row>
    <row r="334" spans="1:21" x14ac:dyDescent="0.25">
      <c r="A334" s="16" t="s">
        <v>37</v>
      </c>
      <c r="B334" s="16" t="s">
        <v>269</v>
      </c>
      <c r="C334" s="16" t="s">
        <v>270</v>
      </c>
      <c r="D334" s="16" t="s">
        <v>100</v>
      </c>
      <c r="E334" s="16" t="s">
        <v>101</v>
      </c>
      <c r="F334" s="16" t="s">
        <v>162</v>
      </c>
      <c r="G334" s="16" t="s">
        <v>163</v>
      </c>
      <c r="H334" s="16" t="s">
        <v>85</v>
      </c>
      <c r="I334" s="16" t="s">
        <v>40</v>
      </c>
      <c r="J334" s="16" t="s">
        <v>38</v>
      </c>
      <c r="K334" s="16" t="s">
        <v>293</v>
      </c>
      <c r="L334" s="15">
        <v>-436016.66319502448</v>
      </c>
      <c r="M334" s="15">
        <v>-30897.175304142042</v>
      </c>
      <c r="N334" s="15">
        <v>-461610.46349477384</v>
      </c>
      <c r="O334" s="15">
        <v>25593.800299749382</v>
      </c>
      <c r="P334" s="15">
        <f>O334</f>
        <v>25593.800299749382</v>
      </c>
      <c r="Q334" s="15">
        <f>P334-R334-25594</f>
        <v>-0.19970025061775232</v>
      </c>
      <c r="R334" s="15">
        <v>0</v>
      </c>
      <c r="S334" s="15">
        <f t="shared" si="23"/>
        <v>-0.19970025061775232</v>
      </c>
      <c r="T334" s="16"/>
      <c r="U334" s="16"/>
    </row>
    <row r="335" spans="1:21" hidden="1" x14ac:dyDescent="0.25">
      <c r="A335" s="16" t="s">
        <v>37</v>
      </c>
      <c r="B335" s="16" t="s">
        <v>265</v>
      </c>
      <c r="C335" s="16" t="s">
        <v>266</v>
      </c>
      <c r="D335" s="16" t="s">
        <v>100</v>
      </c>
      <c r="E335" s="16" t="s">
        <v>101</v>
      </c>
      <c r="F335" s="16" t="s">
        <v>162</v>
      </c>
      <c r="G335" s="16" t="s">
        <v>163</v>
      </c>
      <c r="H335" s="16" t="s">
        <v>85</v>
      </c>
      <c r="I335" s="16" t="s">
        <v>40</v>
      </c>
      <c r="J335" s="16" t="s">
        <v>38</v>
      </c>
      <c r="K335" s="16" t="s">
        <v>293</v>
      </c>
      <c r="L335" s="15">
        <v>-3243235.6100900611</v>
      </c>
      <c r="M335" s="15">
        <v>-167.00000346045758</v>
      </c>
      <c r="N335" s="15">
        <v>-3140498.6249022102</v>
      </c>
      <c r="O335" s="15">
        <v>-102736.98518785089</v>
      </c>
      <c r="P335" s="15">
        <v>-102736.98518785089</v>
      </c>
      <c r="Q335" s="15">
        <f t="shared" si="22"/>
        <v>-102736.98518785089</v>
      </c>
      <c r="R335" s="15">
        <v>0</v>
      </c>
      <c r="S335" s="15">
        <f t="shared" si="23"/>
        <v>-102736.98518785089</v>
      </c>
      <c r="T335" s="16"/>
      <c r="U335" s="16"/>
    </row>
    <row r="336" spans="1:21" hidden="1" x14ac:dyDescent="0.25">
      <c r="A336" s="16" t="s">
        <v>37</v>
      </c>
      <c r="B336" s="16" t="s">
        <v>261</v>
      </c>
      <c r="C336" s="16" t="s">
        <v>262</v>
      </c>
      <c r="D336" s="16" t="s">
        <v>100</v>
      </c>
      <c r="E336" s="16" t="s">
        <v>101</v>
      </c>
      <c r="F336" s="16" t="s">
        <v>162</v>
      </c>
      <c r="G336" s="16" t="s">
        <v>163</v>
      </c>
      <c r="H336" s="16" t="s">
        <v>85</v>
      </c>
      <c r="I336" s="16" t="s">
        <v>40</v>
      </c>
      <c r="J336" s="16" t="s">
        <v>38</v>
      </c>
      <c r="K336" s="16" t="s">
        <v>293</v>
      </c>
      <c r="L336" s="15">
        <v>-1662886.3288952787</v>
      </c>
      <c r="M336" s="15">
        <v>-95393.27</v>
      </c>
      <c r="N336" s="15">
        <v>-1503456.6555165784</v>
      </c>
      <c r="O336" s="15">
        <v>-159429.67337869992</v>
      </c>
      <c r="P336" s="15">
        <v>-159429.67337869992</v>
      </c>
      <c r="Q336" s="15">
        <f t="shared" si="22"/>
        <v>-159429.67337869992</v>
      </c>
      <c r="R336" s="15">
        <v>0</v>
      </c>
      <c r="S336" s="15">
        <f t="shared" si="23"/>
        <v>-159429.67337869992</v>
      </c>
      <c r="T336" s="16"/>
      <c r="U336" s="16"/>
    </row>
    <row r="337" spans="1:21" hidden="1" x14ac:dyDescent="0.25">
      <c r="A337" s="16" t="s">
        <v>37</v>
      </c>
      <c r="B337" s="16" t="s">
        <v>257</v>
      </c>
      <c r="C337" s="16" t="s">
        <v>258</v>
      </c>
      <c r="D337" s="16" t="s">
        <v>100</v>
      </c>
      <c r="E337" s="16" t="s">
        <v>101</v>
      </c>
      <c r="F337" s="16" t="s">
        <v>162</v>
      </c>
      <c r="G337" s="16" t="s">
        <v>163</v>
      </c>
      <c r="H337" s="16" t="s">
        <v>85</v>
      </c>
      <c r="I337" s="16" t="s">
        <v>40</v>
      </c>
      <c r="J337" s="16" t="s">
        <v>38</v>
      </c>
      <c r="K337" s="16" t="s">
        <v>293</v>
      </c>
      <c r="L337" s="15">
        <v>-7639008.8264174731</v>
      </c>
      <c r="M337" s="15">
        <v>-1077049.150507282</v>
      </c>
      <c r="N337" s="15">
        <v>-6922529.4950274806</v>
      </c>
      <c r="O337" s="15">
        <v>-716479.33138999157</v>
      </c>
      <c r="P337" s="15">
        <v>-716479.33138999157</v>
      </c>
      <c r="Q337" s="15">
        <f>P337-R337+P334</f>
        <v>-690885.53109024221</v>
      </c>
      <c r="R337" s="15">
        <v>0</v>
      </c>
      <c r="S337" s="15">
        <f t="shared" si="23"/>
        <v>-690885.53109024221</v>
      </c>
      <c r="T337" s="16"/>
      <c r="U337" s="26"/>
    </row>
    <row r="338" spans="1:21" hidden="1" x14ac:dyDescent="0.25">
      <c r="A338" s="16" t="s">
        <v>37</v>
      </c>
      <c r="B338" s="16" t="s">
        <v>257</v>
      </c>
      <c r="C338" s="16" t="s">
        <v>258</v>
      </c>
      <c r="D338" s="16" t="s">
        <v>100</v>
      </c>
      <c r="E338" s="16" t="s">
        <v>101</v>
      </c>
      <c r="F338" s="16" t="s">
        <v>162</v>
      </c>
      <c r="G338" s="16" t="s">
        <v>163</v>
      </c>
      <c r="H338" s="16" t="s">
        <v>85</v>
      </c>
      <c r="I338" s="16" t="s">
        <v>40</v>
      </c>
      <c r="J338" s="16" t="s">
        <v>300</v>
      </c>
      <c r="K338" s="16" t="s">
        <v>301</v>
      </c>
      <c r="L338" s="15">
        <v>-23508.47457627119</v>
      </c>
      <c r="M338" s="15">
        <v>0</v>
      </c>
      <c r="N338" s="15">
        <v>-16729.150000000001</v>
      </c>
      <c r="O338" s="15">
        <v>-6779.3245762711867</v>
      </c>
      <c r="P338" s="15">
        <v>-6779.3245762711867</v>
      </c>
      <c r="Q338" s="15">
        <v>5000</v>
      </c>
      <c r="R338" s="15">
        <v>-5000</v>
      </c>
      <c r="S338" s="15">
        <f t="shared" si="23"/>
        <v>0</v>
      </c>
      <c r="T338" s="16"/>
      <c r="U338" s="26"/>
    </row>
    <row r="339" spans="1:21" hidden="1" x14ac:dyDescent="0.25">
      <c r="A339" s="16" t="s">
        <v>37</v>
      </c>
      <c r="B339" s="16" t="s">
        <v>257</v>
      </c>
      <c r="C339" s="16" t="s">
        <v>258</v>
      </c>
      <c r="D339" s="16" t="s">
        <v>100</v>
      </c>
      <c r="E339" s="16" t="s">
        <v>101</v>
      </c>
      <c r="F339" s="16" t="s">
        <v>162</v>
      </c>
      <c r="G339" s="16" t="s">
        <v>163</v>
      </c>
      <c r="H339" s="16" t="s">
        <v>85</v>
      </c>
      <c r="I339" s="16" t="s">
        <v>40</v>
      </c>
      <c r="J339" s="16" t="s">
        <v>142</v>
      </c>
      <c r="K339" s="16" t="s">
        <v>143</v>
      </c>
      <c r="L339" s="15">
        <v>-10984.273999999999</v>
      </c>
      <c r="M339" s="15">
        <v>0</v>
      </c>
      <c r="N339" s="15">
        <v>0</v>
      </c>
      <c r="O339" s="15">
        <v>-10984.273999999999</v>
      </c>
      <c r="P339" s="15">
        <v>-10984.273999999999</v>
      </c>
      <c r="Q339" s="15">
        <f t="shared" si="22"/>
        <v>-10984.273999999999</v>
      </c>
      <c r="R339" s="15">
        <v>0</v>
      </c>
      <c r="S339" s="15">
        <f t="shared" si="23"/>
        <v>-10984.273999999999</v>
      </c>
      <c r="T339" s="16"/>
      <c r="U339" s="26"/>
    </row>
    <row r="340" spans="1:21" x14ac:dyDescent="0.25">
      <c r="A340" s="16" t="s">
        <v>37</v>
      </c>
      <c r="B340" s="16" t="s">
        <v>269</v>
      </c>
      <c r="C340" s="16" t="s">
        <v>270</v>
      </c>
      <c r="D340" s="16" t="s">
        <v>100</v>
      </c>
      <c r="E340" s="16" t="s">
        <v>101</v>
      </c>
      <c r="F340" s="16" t="s">
        <v>162</v>
      </c>
      <c r="G340" s="16" t="s">
        <v>163</v>
      </c>
      <c r="H340" s="16" t="s">
        <v>85</v>
      </c>
      <c r="I340" s="16" t="s">
        <v>40</v>
      </c>
      <c r="J340" s="16" t="s">
        <v>130</v>
      </c>
      <c r="K340" s="16" t="s">
        <v>131</v>
      </c>
      <c r="L340" s="15">
        <v>-20628.690000071223</v>
      </c>
      <c r="M340" s="15">
        <v>-20628.690000071223</v>
      </c>
      <c r="N340" s="15">
        <v>0</v>
      </c>
      <c r="O340" s="15">
        <v>-20628.690000071223</v>
      </c>
      <c r="P340" s="15">
        <v>-20628.690000071223</v>
      </c>
      <c r="Q340" s="15">
        <f t="shared" si="22"/>
        <v>-20628.690000071223</v>
      </c>
      <c r="R340" s="15">
        <v>0</v>
      </c>
      <c r="S340" s="15">
        <f t="shared" si="23"/>
        <v>-20628.690000071223</v>
      </c>
      <c r="T340" s="16"/>
      <c r="U340" s="16"/>
    </row>
    <row r="341" spans="1:21" hidden="1" x14ac:dyDescent="0.25">
      <c r="A341" s="16" t="s">
        <v>37</v>
      </c>
      <c r="B341" s="16" t="s">
        <v>257</v>
      </c>
      <c r="C341" s="16" t="s">
        <v>258</v>
      </c>
      <c r="D341" s="16" t="s">
        <v>100</v>
      </c>
      <c r="E341" s="16" t="s">
        <v>101</v>
      </c>
      <c r="F341" s="16" t="s">
        <v>162</v>
      </c>
      <c r="G341" s="16" t="s">
        <v>163</v>
      </c>
      <c r="H341" s="16" t="s">
        <v>85</v>
      </c>
      <c r="I341" s="16" t="s">
        <v>40</v>
      </c>
      <c r="J341" s="16" t="s">
        <v>296</v>
      </c>
      <c r="K341" s="16" t="s">
        <v>297</v>
      </c>
      <c r="L341" s="15">
        <v>-12200.2249985982</v>
      </c>
      <c r="M341" s="15">
        <v>-69.619579799999997</v>
      </c>
      <c r="N341" s="15">
        <v>-12153.158260000002</v>
      </c>
      <c r="O341" s="15">
        <v>-47.066738598198754</v>
      </c>
      <c r="P341" s="15">
        <v>-47.066738598198754</v>
      </c>
      <c r="Q341" s="15">
        <f t="shared" si="22"/>
        <v>-47.066738598198754</v>
      </c>
      <c r="R341" s="15">
        <v>0</v>
      </c>
      <c r="S341" s="15">
        <f t="shared" si="23"/>
        <v>-47.066738598198754</v>
      </c>
      <c r="T341" s="16"/>
      <c r="U341" s="26"/>
    </row>
    <row r="342" spans="1:21" x14ac:dyDescent="0.25">
      <c r="A342" s="16" t="s">
        <v>37</v>
      </c>
      <c r="B342" s="16" t="s">
        <v>269</v>
      </c>
      <c r="C342" s="16" t="s">
        <v>270</v>
      </c>
      <c r="D342" s="16" t="s">
        <v>100</v>
      </c>
      <c r="E342" s="16" t="s">
        <v>101</v>
      </c>
      <c r="F342" s="16" t="s">
        <v>162</v>
      </c>
      <c r="G342" s="16" t="s">
        <v>163</v>
      </c>
      <c r="H342" s="16" t="s">
        <v>85</v>
      </c>
      <c r="I342" s="16" t="s">
        <v>40</v>
      </c>
      <c r="J342" s="16" t="s">
        <v>124</v>
      </c>
      <c r="K342" s="16" t="s">
        <v>125</v>
      </c>
      <c r="L342" s="15">
        <v>-2018.248623542187</v>
      </c>
      <c r="M342" s="15">
        <v>0</v>
      </c>
      <c r="N342" s="15">
        <v>-1419.4199999999992</v>
      </c>
      <c r="O342" s="15">
        <v>-598.82862354218832</v>
      </c>
      <c r="P342" s="15">
        <v>0</v>
      </c>
      <c r="Q342" s="15">
        <f t="shared" si="22"/>
        <v>0</v>
      </c>
      <c r="R342" s="15">
        <v>0</v>
      </c>
      <c r="S342" s="15">
        <f t="shared" si="23"/>
        <v>0</v>
      </c>
      <c r="T342" s="16"/>
      <c r="U342" s="16"/>
    </row>
    <row r="343" spans="1:21" hidden="1" x14ac:dyDescent="0.25">
      <c r="A343" s="16" t="s">
        <v>37</v>
      </c>
      <c r="B343" s="16" t="s">
        <v>265</v>
      </c>
      <c r="C343" s="16" t="s">
        <v>266</v>
      </c>
      <c r="D343" s="16" t="s">
        <v>100</v>
      </c>
      <c r="E343" s="16" t="s">
        <v>101</v>
      </c>
      <c r="F343" s="16" t="s">
        <v>162</v>
      </c>
      <c r="G343" s="16" t="s">
        <v>163</v>
      </c>
      <c r="H343" s="16" t="s">
        <v>85</v>
      </c>
      <c r="I343" s="16" t="s">
        <v>40</v>
      </c>
      <c r="J343" s="16" t="s">
        <v>124</v>
      </c>
      <c r="K343" s="16" t="s">
        <v>125</v>
      </c>
      <c r="L343" s="15">
        <v>-365702.46542919852</v>
      </c>
      <c r="M343" s="15">
        <v>0</v>
      </c>
      <c r="N343" s="15">
        <v>-299374.57365309499</v>
      </c>
      <c r="O343" s="15">
        <v>-66327.891776103512</v>
      </c>
      <c r="P343" s="15">
        <v>0</v>
      </c>
      <c r="Q343" s="15">
        <f t="shared" si="22"/>
        <v>0</v>
      </c>
      <c r="R343" s="15">
        <v>0</v>
      </c>
      <c r="S343" s="15">
        <f t="shared" si="23"/>
        <v>0</v>
      </c>
      <c r="T343" s="16"/>
      <c r="U343" s="16"/>
    </row>
    <row r="344" spans="1:21" hidden="1" x14ac:dyDescent="0.25">
      <c r="A344" s="16" t="s">
        <v>37</v>
      </c>
      <c r="B344" s="16" t="s">
        <v>261</v>
      </c>
      <c r="C344" s="16" t="s">
        <v>262</v>
      </c>
      <c r="D344" s="16" t="s">
        <v>100</v>
      </c>
      <c r="E344" s="16" t="s">
        <v>101</v>
      </c>
      <c r="F344" s="16" t="s">
        <v>162</v>
      </c>
      <c r="G344" s="16" t="s">
        <v>163</v>
      </c>
      <c r="H344" s="16" t="s">
        <v>85</v>
      </c>
      <c r="I344" s="16" t="s">
        <v>40</v>
      </c>
      <c r="J344" s="16" t="s">
        <v>124</v>
      </c>
      <c r="K344" s="16" t="s">
        <v>125</v>
      </c>
      <c r="L344" s="15">
        <v>-53269.32473475</v>
      </c>
      <c r="M344" s="15">
        <v>0</v>
      </c>
      <c r="N344" s="15">
        <v>-35675.6335056936</v>
      </c>
      <c r="O344" s="15">
        <v>-17593.691229056392</v>
      </c>
      <c r="P344" s="15">
        <v>0</v>
      </c>
      <c r="Q344" s="15">
        <f t="shared" si="22"/>
        <v>0</v>
      </c>
      <c r="R344" s="15">
        <v>0</v>
      </c>
      <c r="S344" s="15">
        <f t="shared" si="23"/>
        <v>0</v>
      </c>
      <c r="T344" s="16"/>
      <c r="U344" s="16"/>
    </row>
    <row r="345" spans="1:21" hidden="1" x14ac:dyDescent="0.25">
      <c r="A345" s="16" t="s">
        <v>37</v>
      </c>
      <c r="B345" s="16" t="s">
        <v>257</v>
      </c>
      <c r="C345" s="16" t="s">
        <v>258</v>
      </c>
      <c r="D345" s="16" t="s">
        <v>100</v>
      </c>
      <c r="E345" s="16" t="s">
        <v>101</v>
      </c>
      <c r="F345" s="16" t="s">
        <v>162</v>
      </c>
      <c r="G345" s="16" t="s">
        <v>163</v>
      </c>
      <c r="H345" s="16" t="s">
        <v>85</v>
      </c>
      <c r="I345" s="16" t="s">
        <v>40</v>
      </c>
      <c r="J345" s="16" t="s">
        <v>124</v>
      </c>
      <c r="K345" s="16" t="s">
        <v>125</v>
      </c>
      <c r="L345" s="15">
        <v>-163.8415</v>
      </c>
      <c r="M345" s="15">
        <v>0</v>
      </c>
      <c r="N345" s="15">
        <v>-124.03926399999999</v>
      </c>
      <c r="O345" s="15">
        <v>-39.802236000000022</v>
      </c>
      <c r="P345" s="15">
        <v>0</v>
      </c>
      <c r="Q345" s="15">
        <f t="shared" si="22"/>
        <v>0</v>
      </c>
      <c r="R345" s="15">
        <v>0</v>
      </c>
      <c r="S345" s="15">
        <f t="shared" si="23"/>
        <v>0</v>
      </c>
      <c r="T345" s="16"/>
      <c r="U345" s="26"/>
    </row>
    <row r="346" spans="1:21" hidden="1" x14ac:dyDescent="0.25">
      <c r="A346" s="16" t="s">
        <v>37</v>
      </c>
      <c r="B346" s="16" t="s">
        <v>257</v>
      </c>
      <c r="C346" s="16" t="s">
        <v>258</v>
      </c>
      <c r="D346" s="16" t="s">
        <v>100</v>
      </c>
      <c r="E346" s="16" t="s">
        <v>101</v>
      </c>
      <c r="F346" s="16" t="s">
        <v>162</v>
      </c>
      <c r="G346" s="16" t="s">
        <v>163</v>
      </c>
      <c r="H346" s="16" t="s">
        <v>85</v>
      </c>
      <c r="I346" s="16" t="s">
        <v>40</v>
      </c>
      <c r="J346" s="16" t="s">
        <v>298</v>
      </c>
      <c r="K346" s="16" t="s">
        <v>299</v>
      </c>
      <c r="L346" s="15">
        <v>-6666.6264454800012</v>
      </c>
      <c r="M346" s="15">
        <v>-273.04606200000012</v>
      </c>
      <c r="N346" s="15">
        <v>-4230.5783917080007</v>
      </c>
      <c r="O346" s="15">
        <v>-2436.0480537720009</v>
      </c>
      <c r="P346" s="15">
        <v>-2436.0480537720009</v>
      </c>
      <c r="Q346" s="15">
        <f t="shared" si="22"/>
        <v>-2436.0480537720009</v>
      </c>
      <c r="R346" s="15">
        <v>0</v>
      </c>
      <c r="S346" s="15">
        <f t="shared" si="23"/>
        <v>-2436.0480537720009</v>
      </c>
      <c r="T346" s="16"/>
      <c r="U346" s="26"/>
    </row>
    <row r="347" spans="1:21" x14ac:dyDescent="0.25">
      <c r="A347" s="16" t="s">
        <v>37</v>
      </c>
      <c r="B347" s="16" t="s">
        <v>269</v>
      </c>
      <c r="C347" s="16" t="s">
        <v>270</v>
      </c>
      <c r="D347" s="16" t="s">
        <v>100</v>
      </c>
      <c r="E347" s="16" t="s">
        <v>101</v>
      </c>
      <c r="F347" s="16" t="s">
        <v>162</v>
      </c>
      <c r="G347" s="16" t="s">
        <v>163</v>
      </c>
      <c r="H347" s="16" t="s">
        <v>85</v>
      </c>
      <c r="I347" s="16" t="s">
        <v>40</v>
      </c>
      <c r="J347" s="16" t="s">
        <v>132</v>
      </c>
      <c r="K347" s="16" t="s">
        <v>133</v>
      </c>
      <c r="L347" s="15">
        <v>-57060.261855057062</v>
      </c>
      <c r="M347" s="15">
        <v>-57060.261855057062</v>
      </c>
      <c r="N347" s="15">
        <v>-57060.249989593707</v>
      </c>
      <c r="O347" s="15">
        <v>-1.1865463357025874E-2</v>
      </c>
      <c r="P347" s="15">
        <v>0</v>
      </c>
      <c r="Q347" s="15">
        <f t="shared" si="22"/>
        <v>0</v>
      </c>
      <c r="R347" s="15">
        <v>0</v>
      </c>
      <c r="S347" s="15">
        <f t="shared" si="23"/>
        <v>0</v>
      </c>
      <c r="T347" s="16"/>
      <c r="U347" s="16"/>
    </row>
    <row r="348" spans="1:21" hidden="1" x14ac:dyDescent="0.25">
      <c r="A348" s="16" t="s">
        <v>37</v>
      </c>
      <c r="B348" s="16" t="s">
        <v>257</v>
      </c>
      <c r="C348" s="16" t="s">
        <v>258</v>
      </c>
      <c r="D348" s="16" t="s">
        <v>100</v>
      </c>
      <c r="E348" s="16" t="s">
        <v>101</v>
      </c>
      <c r="F348" s="16" t="s">
        <v>162</v>
      </c>
      <c r="G348" s="16" t="s">
        <v>163</v>
      </c>
      <c r="H348" s="16" t="s">
        <v>85</v>
      </c>
      <c r="I348" s="16" t="s">
        <v>40</v>
      </c>
      <c r="J348" s="16" t="s">
        <v>302</v>
      </c>
      <c r="K348" s="16" t="s">
        <v>303</v>
      </c>
      <c r="L348" s="15">
        <v>-49491.525361864398</v>
      </c>
      <c r="M348" s="15">
        <v>0</v>
      </c>
      <c r="N348" s="15">
        <v>-49133.726086956529</v>
      </c>
      <c r="O348" s="15">
        <v>-357.7992749078694</v>
      </c>
      <c r="P348" s="15">
        <v>-357.7992749078694</v>
      </c>
      <c r="Q348" s="15">
        <f>P348-R348+358</f>
        <v>3895.5507250921305</v>
      </c>
      <c r="R348" s="15">
        <v>-3895.35</v>
      </c>
      <c r="S348" s="15">
        <f t="shared" si="23"/>
        <v>0.20072509213059675</v>
      </c>
      <c r="T348" s="16"/>
      <c r="U348" s="26"/>
    </row>
    <row r="349" spans="1:21" x14ac:dyDescent="0.25">
      <c r="A349" s="16" t="s">
        <v>37</v>
      </c>
      <c r="B349" s="16" t="s">
        <v>269</v>
      </c>
      <c r="C349" s="16" t="s">
        <v>270</v>
      </c>
      <c r="D349" s="16" t="s">
        <v>100</v>
      </c>
      <c r="E349" s="16" t="s">
        <v>101</v>
      </c>
      <c r="F349" s="16" t="s">
        <v>162</v>
      </c>
      <c r="G349" s="16" t="s">
        <v>163</v>
      </c>
      <c r="H349" s="16" t="s">
        <v>85</v>
      </c>
      <c r="I349" s="16" t="s">
        <v>40</v>
      </c>
      <c r="J349" s="16" t="s">
        <v>64</v>
      </c>
      <c r="K349" s="16" t="s">
        <v>65</v>
      </c>
      <c r="L349" s="15">
        <v>-116523.80948680616</v>
      </c>
      <c r="M349" s="15">
        <v>0</v>
      </c>
      <c r="N349" s="15">
        <v>-109780.61982604174</v>
      </c>
      <c r="O349" s="15">
        <v>-6743.1896607643794</v>
      </c>
      <c r="P349" s="15">
        <v>-6743.1896607643794</v>
      </c>
      <c r="Q349" s="15">
        <f t="shared" si="22"/>
        <v>-6743.1896607643794</v>
      </c>
      <c r="R349" s="15">
        <v>0</v>
      </c>
      <c r="S349" s="15">
        <f t="shared" si="23"/>
        <v>-6743.1896607643794</v>
      </c>
      <c r="T349" s="16"/>
      <c r="U349" s="16"/>
    </row>
    <row r="350" spans="1:21" x14ac:dyDescent="0.25">
      <c r="A350" s="16" t="s">
        <v>37</v>
      </c>
      <c r="B350" s="16" t="s">
        <v>269</v>
      </c>
      <c r="C350" s="16" t="s">
        <v>270</v>
      </c>
      <c r="D350" s="16" t="s">
        <v>100</v>
      </c>
      <c r="E350" s="16" t="s">
        <v>101</v>
      </c>
      <c r="F350" s="16" t="s">
        <v>162</v>
      </c>
      <c r="G350" s="16" t="s">
        <v>163</v>
      </c>
      <c r="H350" s="16" t="s">
        <v>85</v>
      </c>
      <c r="I350" s="16" t="s">
        <v>40</v>
      </c>
      <c r="J350" s="16" t="s">
        <v>66</v>
      </c>
      <c r="K350" s="16" t="s">
        <v>63</v>
      </c>
      <c r="L350" s="15">
        <v>-81807.878625381549</v>
      </c>
      <c r="M350" s="15">
        <v>-81807.878625381549</v>
      </c>
      <c r="N350" s="15">
        <v>-81807.899930634274</v>
      </c>
      <c r="O350" s="15">
        <v>2.1305252731508517E-2</v>
      </c>
      <c r="P350" s="15">
        <v>0</v>
      </c>
      <c r="Q350" s="15">
        <f t="shared" si="22"/>
        <v>0</v>
      </c>
      <c r="R350" s="15">
        <v>0</v>
      </c>
      <c r="S350" s="15">
        <f t="shared" si="23"/>
        <v>0</v>
      </c>
      <c r="T350" s="16"/>
      <c r="U350" s="16"/>
    </row>
    <row r="351" spans="1:21" hidden="1" x14ac:dyDescent="0.25">
      <c r="A351" s="16" t="s">
        <v>37</v>
      </c>
      <c r="B351" s="16" t="s">
        <v>257</v>
      </c>
      <c r="C351" s="16" t="s">
        <v>258</v>
      </c>
      <c r="D351" s="16" t="s">
        <v>100</v>
      </c>
      <c r="E351" s="16" t="s">
        <v>101</v>
      </c>
      <c r="F351" s="16" t="s">
        <v>162</v>
      </c>
      <c r="G351" s="16" t="s">
        <v>163</v>
      </c>
      <c r="H351" s="16" t="s">
        <v>85</v>
      </c>
      <c r="I351" s="16" t="s">
        <v>40</v>
      </c>
      <c r="J351" s="16" t="s">
        <v>67</v>
      </c>
      <c r="K351" s="16" t="s">
        <v>68</v>
      </c>
      <c r="L351" s="15">
        <v>-3970</v>
      </c>
      <c r="M351" s="15">
        <v>0</v>
      </c>
      <c r="N351" s="15">
        <v>0</v>
      </c>
      <c r="O351" s="15">
        <v>-3970</v>
      </c>
      <c r="P351" s="15">
        <v>-3970</v>
      </c>
      <c r="Q351" s="15">
        <f t="shared" si="22"/>
        <v>-3970</v>
      </c>
      <c r="R351" s="15">
        <v>0</v>
      </c>
      <c r="S351" s="15">
        <f t="shared" si="23"/>
        <v>-3970</v>
      </c>
      <c r="T351" s="16"/>
      <c r="U351" s="26"/>
    </row>
    <row r="352" spans="1:21" x14ac:dyDescent="0.25">
      <c r="A352" s="16" t="s">
        <v>37</v>
      </c>
      <c r="B352" s="16" t="s">
        <v>269</v>
      </c>
      <c r="C352" s="16" t="s">
        <v>270</v>
      </c>
      <c r="D352" s="16" t="s">
        <v>100</v>
      </c>
      <c r="E352" s="16" t="s">
        <v>101</v>
      </c>
      <c r="F352" s="16" t="s">
        <v>162</v>
      </c>
      <c r="G352" s="16" t="s">
        <v>163</v>
      </c>
      <c r="H352" s="16" t="s">
        <v>85</v>
      </c>
      <c r="I352" s="16" t="s">
        <v>40</v>
      </c>
      <c r="J352" s="16" t="s">
        <v>69</v>
      </c>
      <c r="K352" s="16" t="s">
        <v>70</v>
      </c>
      <c r="L352" s="15">
        <v>-1732.6956703652104</v>
      </c>
      <c r="M352" s="15">
        <v>-1732.6956703652104</v>
      </c>
      <c r="N352" s="15">
        <v>-1732.6999969253802</v>
      </c>
      <c r="O352" s="15">
        <v>4.3265601693462941E-3</v>
      </c>
      <c r="P352" s="15">
        <v>0</v>
      </c>
      <c r="Q352" s="15">
        <f t="shared" si="22"/>
        <v>0</v>
      </c>
      <c r="R352" s="15">
        <v>0</v>
      </c>
      <c r="S352" s="15">
        <f t="shared" si="23"/>
        <v>0</v>
      </c>
      <c r="T352" s="16"/>
      <c r="U352" s="15">
        <f t="shared" ref="U352:U354" si="24">O352</f>
        <v>4.3265601693462941E-3</v>
      </c>
    </row>
    <row r="353" spans="1:21" hidden="1" x14ac:dyDescent="0.25">
      <c r="A353" s="16" t="s">
        <v>37</v>
      </c>
      <c r="B353" s="16" t="s">
        <v>261</v>
      </c>
      <c r="C353" s="16" t="s">
        <v>262</v>
      </c>
      <c r="D353" s="16" t="s">
        <v>100</v>
      </c>
      <c r="E353" s="16" t="s">
        <v>101</v>
      </c>
      <c r="F353" s="16" t="s">
        <v>162</v>
      </c>
      <c r="G353" s="16" t="s">
        <v>163</v>
      </c>
      <c r="H353" s="16" t="s">
        <v>85</v>
      </c>
      <c r="I353" s="16" t="s">
        <v>40</v>
      </c>
      <c r="J353" s="16" t="s">
        <v>69</v>
      </c>
      <c r="K353" s="16" t="s">
        <v>70</v>
      </c>
      <c r="L353" s="15">
        <v>-7132.5899984750004</v>
      </c>
      <c r="M353" s="15">
        <v>-7132.59</v>
      </c>
      <c r="N353" s="15">
        <v>-6982.9103000000005</v>
      </c>
      <c r="O353" s="15">
        <v>-149.6796984749999</v>
      </c>
      <c r="P353" s="15">
        <v>0</v>
      </c>
      <c r="Q353" s="15">
        <f t="shared" si="22"/>
        <v>0</v>
      </c>
      <c r="R353" s="15">
        <v>0</v>
      </c>
      <c r="S353" s="15">
        <f t="shared" si="23"/>
        <v>0</v>
      </c>
      <c r="T353" s="16"/>
      <c r="U353" s="15">
        <f t="shared" si="24"/>
        <v>-149.6796984749999</v>
      </c>
    </row>
    <row r="354" spans="1:21" hidden="1" x14ac:dyDescent="0.25">
      <c r="A354" s="16" t="s">
        <v>37</v>
      </c>
      <c r="B354" s="16" t="s">
        <v>257</v>
      </c>
      <c r="C354" s="16" t="s">
        <v>258</v>
      </c>
      <c r="D354" s="16" t="s">
        <v>100</v>
      </c>
      <c r="E354" s="16" t="s">
        <v>101</v>
      </c>
      <c r="F354" s="16" t="s">
        <v>162</v>
      </c>
      <c r="G354" s="16" t="s">
        <v>163</v>
      </c>
      <c r="H354" s="16" t="s">
        <v>85</v>
      </c>
      <c r="I354" s="16" t="s">
        <v>40</v>
      </c>
      <c r="J354" s="16" t="s">
        <v>69</v>
      </c>
      <c r="K354" s="16" t="s">
        <v>70</v>
      </c>
      <c r="L354" s="15">
        <v>-2646.2497480000002</v>
      </c>
      <c r="M354" s="15">
        <v>-2646.2497480000002</v>
      </c>
      <c r="N354" s="15">
        <v>-2612.7589755600006</v>
      </c>
      <c r="O354" s="15">
        <v>-33.490772439999319</v>
      </c>
      <c r="P354" s="15">
        <v>0</v>
      </c>
      <c r="Q354" s="15">
        <f t="shared" si="22"/>
        <v>0</v>
      </c>
      <c r="R354" s="15">
        <v>0</v>
      </c>
      <c r="S354" s="15">
        <f t="shared" si="23"/>
        <v>0</v>
      </c>
      <c r="T354" s="16"/>
      <c r="U354" s="15">
        <f t="shared" si="24"/>
        <v>-33.490772439999319</v>
      </c>
    </row>
    <row r="355" spans="1:21" hidden="1" x14ac:dyDescent="0.25">
      <c r="A355" s="16" t="s">
        <v>37</v>
      </c>
      <c r="B355" s="16" t="s">
        <v>257</v>
      </c>
      <c r="C355" s="16" t="s">
        <v>258</v>
      </c>
      <c r="D355" s="16" t="s">
        <v>100</v>
      </c>
      <c r="E355" s="16" t="s">
        <v>101</v>
      </c>
      <c r="F355" s="16" t="s">
        <v>162</v>
      </c>
      <c r="G355" s="16" t="s">
        <v>163</v>
      </c>
      <c r="H355" s="16" t="s">
        <v>85</v>
      </c>
      <c r="I355" s="16" t="s">
        <v>40</v>
      </c>
      <c r="J355" s="16" t="s">
        <v>136</v>
      </c>
      <c r="K355" s="16" t="s">
        <v>137</v>
      </c>
      <c r="L355" s="15">
        <v>-49704.600000000035</v>
      </c>
      <c r="M355" s="15">
        <v>0</v>
      </c>
      <c r="N355" s="15">
        <v>-49704.600000000006</v>
      </c>
      <c r="O355" s="15">
        <v>-2.4556356947869062E-11</v>
      </c>
      <c r="P355" s="15">
        <v>-2.4556356947869062E-11</v>
      </c>
      <c r="Q355" s="15">
        <f t="shared" si="22"/>
        <v>-2.4556356947869062E-11</v>
      </c>
      <c r="R355" s="15">
        <v>0</v>
      </c>
      <c r="S355" s="15">
        <f t="shared" si="23"/>
        <v>-2.4556356947869062E-11</v>
      </c>
      <c r="T355" s="16"/>
      <c r="U355" s="26"/>
    </row>
    <row r="356" spans="1:21" hidden="1" x14ac:dyDescent="0.25">
      <c r="A356" s="16" t="s">
        <v>37</v>
      </c>
      <c r="B356" s="16" t="s">
        <v>265</v>
      </c>
      <c r="C356" s="16" t="s">
        <v>266</v>
      </c>
      <c r="D356" s="16" t="s">
        <v>100</v>
      </c>
      <c r="E356" s="16" t="s">
        <v>101</v>
      </c>
      <c r="F356" s="16" t="s">
        <v>162</v>
      </c>
      <c r="G356" s="16" t="s">
        <v>163</v>
      </c>
      <c r="H356" s="16" t="s">
        <v>85</v>
      </c>
      <c r="I356" s="16" t="s">
        <v>40</v>
      </c>
      <c r="J356" s="16" t="s">
        <v>138</v>
      </c>
      <c r="K356" s="16" t="s">
        <v>139</v>
      </c>
      <c r="L356" s="15">
        <v>-3568.8244732619614</v>
      </c>
      <c r="M356" s="15">
        <v>0</v>
      </c>
      <c r="N356" s="15">
        <v>-3568.8244732619614</v>
      </c>
      <c r="O356" s="15">
        <v>4.2632564145606011E-14</v>
      </c>
      <c r="P356" s="15">
        <v>0</v>
      </c>
      <c r="Q356" s="15">
        <f t="shared" si="22"/>
        <v>0</v>
      </c>
      <c r="R356" s="15">
        <v>0</v>
      </c>
      <c r="S356" s="15">
        <f t="shared" si="23"/>
        <v>0</v>
      </c>
      <c r="T356" s="16"/>
      <c r="U356" s="16"/>
    </row>
    <row r="357" spans="1:21" x14ac:dyDescent="0.25">
      <c r="A357" s="16" t="s">
        <v>37</v>
      </c>
      <c r="B357" s="16" t="s">
        <v>269</v>
      </c>
      <c r="C357" s="16" t="s">
        <v>270</v>
      </c>
      <c r="D357" s="16" t="s">
        <v>100</v>
      </c>
      <c r="E357" s="16" t="s">
        <v>101</v>
      </c>
      <c r="F357" s="16" t="s">
        <v>164</v>
      </c>
      <c r="G357" s="16" t="s">
        <v>165</v>
      </c>
      <c r="H357" s="16" t="s">
        <v>85</v>
      </c>
      <c r="I357" s="16" t="s">
        <v>40</v>
      </c>
      <c r="J357" s="16" t="s">
        <v>38</v>
      </c>
      <c r="K357" s="16" t="s">
        <v>293</v>
      </c>
      <c r="L357" s="15">
        <v>-1045660.8395222391</v>
      </c>
      <c r="M357" s="15">
        <v>-158.74179194710482</v>
      </c>
      <c r="N357" s="15">
        <v>-904406.76801028254</v>
      </c>
      <c r="O357" s="15">
        <v>-141254.07151195646</v>
      </c>
      <c r="P357" s="15">
        <v>-141254.07151195646</v>
      </c>
      <c r="Q357" s="15">
        <f>P357-R357+141254</f>
        <v>-7.1511956455651671E-2</v>
      </c>
      <c r="R357" s="15">
        <v>0</v>
      </c>
      <c r="S357" s="15">
        <f t="shared" si="23"/>
        <v>-7.1511956455651671E-2</v>
      </c>
      <c r="T357" s="16"/>
      <c r="U357" s="16"/>
    </row>
    <row r="358" spans="1:21" hidden="1" x14ac:dyDescent="0.25">
      <c r="A358" s="16" t="s">
        <v>37</v>
      </c>
      <c r="B358" s="16" t="s">
        <v>263</v>
      </c>
      <c r="C358" s="16" t="s">
        <v>264</v>
      </c>
      <c r="D358" s="16" t="s">
        <v>100</v>
      </c>
      <c r="E358" s="16" t="s">
        <v>101</v>
      </c>
      <c r="F358" s="16" t="s">
        <v>164</v>
      </c>
      <c r="G358" s="16" t="s">
        <v>165</v>
      </c>
      <c r="H358" s="16" t="s">
        <v>85</v>
      </c>
      <c r="I358" s="16" t="s">
        <v>40</v>
      </c>
      <c r="J358" s="16" t="s">
        <v>38</v>
      </c>
      <c r="K358" s="16" t="s">
        <v>293</v>
      </c>
      <c r="L358" s="15">
        <v>-1536005.5558986061</v>
      </c>
      <c r="M358" s="15">
        <v>2.0000006770715117E-5</v>
      </c>
      <c r="N358" s="15">
        <v>-1532021.1914343033</v>
      </c>
      <c r="O358" s="15">
        <v>-3984.3644643035368</v>
      </c>
      <c r="P358" s="15">
        <v>-3984.3644643035368</v>
      </c>
      <c r="Q358" s="15">
        <f>P358-R358+P380</f>
        <v>32.482858016795944</v>
      </c>
      <c r="R358" s="15">
        <v>0</v>
      </c>
      <c r="S358" s="15">
        <f t="shared" si="23"/>
        <v>32.482858016795944</v>
      </c>
      <c r="T358" s="16"/>
      <c r="U358" s="16"/>
    </row>
    <row r="359" spans="1:21" hidden="1" x14ac:dyDescent="0.25">
      <c r="A359" s="16" t="s">
        <v>37</v>
      </c>
      <c r="B359" s="16" t="s">
        <v>257</v>
      </c>
      <c r="C359" s="16" t="s">
        <v>258</v>
      </c>
      <c r="D359" s="16" t="s">
        <v>100</v>
      </c>
      <c r="E359" s="16" t="s">
        <v>101</v>
      </c>
      <c r="F359" s="16" t="s">
        <v>164</v>
      </c>
      <c r="G359" s="16" t="s">
        <v>165</v>
      </c>
      <c r="H359" s="16" t="s">
        <v>85</v>
      </c>
      <c r="I359" s="16" t="s">
        <v>40</v>
      </c>
      <c r="J359" s="16" t="s">
        <v>38</v>
      </c>
      <c r="K359" s="16" t="s">
        <v>293</v>
      </c>
      <c r="L359" s="15">
        <v>-437016.1036277588</v>
      </c>
      <c r="M359" s="15">
        <v>-24096.039676495129</v>
      </c>
      <c r="N359" s="15">
        <v>-181334.58529639235</v>
      </c>
      <c r="O359" s="15">
        <v>-255681.51833136647</v>
      </c>
      <c r="P359" s="15">
        <v>-255681.51833136647</v>
      </c>
      <c r="Q359" s="15">
        <f>P359-R359+P357</f>
        <v>-396935.58984332293</v>
      </c>
      <c r="R359" s="15">
        <v>0</v>
      </c>
      <c r="S359" s="15">
        <f t="shared" si="23"/>
        <v>-396935.58984332293</v>
      </c>
      <c r="T359" s="16"/>
      <c r="U359" s="26"/>
    </row>
    <row r="360" spans="1:21" hidden="1" x14ac:dyDescent="0.25">
      <c r="A360" s="16" t="s">
        <v>37</v>
      </c>
      <c r="B360" s="16" t="s">
        <v>257</v>
      </c>
      <c r="C360" s="16" t="s">
        <v>258</v>
      </c>
      <c r="D360" s="16" t="s">
        <v>100</v>
      </c>
      <c r="E360" s="16" t="s">
        <v>101</v>
      </c>
      <c r="F360" s="16" t="s">
        <v>164</v>
      </c>
      <c r="G360" s="16" t="s">
        <v>165</v>
      </c>
      <c r="H360" s="16" t="s">
        <v>85</v>
      </c>
      <c r="I360" s="16" t="s">
        <v>40</v>
      </c>
      <c r="J360" s="16" t="s">
        <v>300</v>
      </c>
      <c r="K360" s="16" t="s">
        <v>301</v>
      </c>
      <c r="L360" s="15">
        <v>-1610.1694915254241</v>
      </c>
      <c r="M360" s="15">
        <v>0</v>
      </c>
      <c r="N360" s="15">
        <v>-1610</v>
      </c>
      <c r="O360" s="15">
        <v>-0.16949152542406409</v>
      </c>
      <c r="P360" s="15">
        <v>-0.16949152542406409</v>
      </c>
      <c r="Q360" s="15">
        <f t="shared" si="22"/>
        <v>-0.16949152542406409</v>
      </c>
      <c r="R360" s="15">
        <v>0</v>
      </c>
      <c r="S360" s="15">
        <f t="shared" si="23"/>
        <v>-0.16949152542406409</v>
      </c>
      <c r="T360" s="16"/>
      <c r="U360" s="26"/>
    </row>
    <row r="361" spans="1:21" hidden="1" x14ac:dyDescent="0.25">
      <c r="A361" s="16" t="s">
        <v>37</v>
      </c>
      <c r="B361" s="16" t="s">
        <v>263</v>
      </c>
      <c r="C361" s="16" t="s">
        <v>264</v>
      </c>
      <c r="D361" s="16" t="s">
        <v>100</v>
      </c>
      <c r="E361" s="16" t="s">
        <v>101</v>
      </c>
      <c r="F361" s="16" t="s">
        <v>164</v>
      </c>
      <c r="G361" s="16" t="s">
        <v>165</v>
      </c>
      <c r="H361" s="16" t="s">
        <v>85</v>
      </c>
      <c r="I361" s="16" t="s">
        <v>40</v>
      </c>
      <c r="J361" s="16" t="s">
        <v>273</v>
      </c>
      <c r="K361" s="16" t="s">
        <v>274</v>
      </c>
      <c r="L361" s="15">
        <v>9.9999997473787516E-6</v>
      </c>
      <c r="M361" s="15">
        <v>9.9999997473787516E-6</v>
      </c>
      <c r="N361" s="15">
        <v>0</v>
      </c>
      <c r="O361" s="15">
        <v>9.9999997473787516E-6</v>
      </c>
      <c r="P361" s="15">
        <v>9.9999997473787516E-6</v>
      </c>
      <c r="Q361" s="15">
        <f t="shared" si="22"/>
        <v>9.9999997473787516E-6</v>
      </c>
      <c r="R361" s="15">
        <v>0</v>
      </c>
      <c r="S361" s="15">
        <f t="shared" si="23"/>
        <v>9.9999997473787516E-6</v>
      </c>
      <c r="T361" s="16"/>
      <c r="U361" s="16"/>
    </row>
    <row r="362" spans="1:21" hidden="1" x14ac:dyDescent="0.25">
      <c r="A362" s="16" t="s">
        <v>37</v>
      </c>
      <c r="B362" s="16" t="s">
        <v>263</v>
      </c>
      <c r="C362" s="16" t="s">
        <v>264</v>
      </c>
      <c r="D362" s="16" t="s">
        <v>100</v>
      </c>
      <c r="E362" s="16" t="s">
        <v>101</v>
      </c>
      <c r="F362" s="16" t="s">
        <v>164</v>
      </c>
      <c r="G362" s="16" t="s">
        <v>165</v>
      </c>
      <c r="H362" s="16" t="s">
        <v>85</v>
      </c>
      <c r="I362" s="16" t="s">
        <v>40</v>
      </c>
      <c r="J362" s="16" t="s">
        <v>275</v>
      </c>
      <c r="K362" s="16" t="s">
        <v>276</v>
      </c>
      <c r="L362" s="15">
        <v>1.0000010661315173E-5</v>
      </c>
      <c r="M362" s="15">
        <v>1.0000010661315173E-5</v>
      </c>
      <c r="N362" s="15">
        <v>0</v>
      </c>
      <c r="O362" s="15">
        <v>1.0000010661315173E-5</v>
      </c>
      <c r="P362" s="15">
        <v>1.0000010661315173E-5</v>
      </c>
      <c r="Q362" s="15">
        <f t="shared" si="22"/>
        <v>1.0000010661315173E-5</v>
      </c>
      <c r="R362" s="15">
        <v>0</v>
      </c>
      <c r="S362" s="15">
        <f t="shared" si="23"/>
        <v>1.0000010661315173E-5</v>
      </c>
      <c r="T362" s="16"/>
      <c r="U362" s="16"/>
    </row>
    <row r="363" spans="1:21" hidden="1" x14ac:dyDescent="0.25">
      <c r="A363" s="16" t="s">
        <v>37</v>
      </c>
      <c r="B363" s="16" t="s">
        <v>263</v>
      </c>
      <c r="C363" s="16" t="s">
        <v>264</v>
      </c>
      <c r="D363" s="16" t="s">
        <v>100</v>
      </c>
      <c r="E363" s="16" t="s">
        <v>101</v>
      </c>
      <c r="F363" s="16" t="s">
        <v>164</v>
      </c>
      <c r="G363" s="16" t="s">
        <v>165</v>
      </c>
      <c r="H363" s="16" t="s">
        <v>85</v>
      </c>
      <c r="I363" s="16" t="s">
        <v>40</v>
      </c>
      <c r="J363" s="16" t="s">
        <v>166</v>
      </c>
      <c r="K363" s="16" t="s">
        <v>167</v>
      </c>
      <c r="L363" s="15">
        <v>-9666.9999899999966</v>
      </c>
      <c r="M363" s="15">
        <v>-9666.9999899999966</v>
      </c>
      <c r="N363" s="15">
        <v>-9667.0000000000018</v>
      </c>
      <c r="O363" s="15">
        <v>1.0000005204346962E-5</v>
      </c>
      <c r="P363" s="15">
        <v>1.0000005204346962E-5</v>
      </c>
      <c r="Q363" s="15">
        <f t="shared" si="22"/>
        <v>1.0000005204346962E-5</v>
      </c>
      <c r="R363" s="15">
        <v>0</v>
      </c>
      <c r="S363" s="15">
        <f t="shared" si="23"/>
        <v>1.0000005204346962E-5</v>
      </c>
      <c r="T363" s="16"/>
      <c r="U363" s="16"/>
    </row>
    <row r="364" spans="1:21" x14ac:dyDescent="0.25">
      <c r="A364" s="16" t="s">
        <v>37</v>
      </c>
      <c r="B364" s="16" t="s">
        <v>269</v>
      </c>
      <c r="C364" s="16" t="s">
        <v>270</v>
      </c>
      <c r="D364" s="16" t="s">
        <v>100</v>
      </c>
      <c r="E364" s="16" t="s">
        <v>101</v>
      </c>
      <c r="F364" s="16" t="s">
        <v>164</v>
      </c>
      <c r="G364" s="16" t="s">
        <v>165</v>
      </c>
      <c r="H364" s="16" t="s">
        <v>85</v>
      </c>
      <c r="I364" s="16" t="s">
        <v>40</v>
      </c>
      <c r="J364" s="16" t="s">
        <v>130</v>
      </c>
      <c r="K364" s="16" t="s">
        <v>131</v>
      </c>
      <c r="L364" s="15">
        <v>-505.1902804578931</v>
      </c>
      <c r="M364" s="15">
        <v>-505.1902804578931</v>
      </c>
      <c r="N364" s="15">
        <v>0</v>
      </c>
      <c r="O364" s="15">
        <v>-505.1902804578931</v>
      </c>
      <c r="P364" s="15">
        <v>-505.1902804578931</v>
      </c>
      <c r="Q364" s="15">
        <f t="shared" si="22"/>
        <v>-505.1902804578931</v>
      </c>
      <c r="R364" s="15">
        <v>0</v>
      </c>
      <c r="S364" s="15">
        <f t="shared" si="23"/>
        <v>-505.1902804578931</v>
      </c>
      <c r="T364" s="16"/>
      <c r="U364" s="16"/>
    </row>
    <row r="365" spans="1:21" hidden="1" x14ac:dyDescent="0.25">
      <c r="A365" s="16" t="s">
        <v>37</v>
      </c>
      <c r="B365" s="16" t="s">
        <v>263</v>
      </c>
      <c r="C365" s="16" t="s">
        <v>264</v>
      </c>
      <c r="D365" s="16" t="s">
        <v>100</v>
      </c>
      <c r="E365" s="16" t="s">
        <v>101</v>
      </c>
      <c r="F365" s="16" t="s">
        <v>164</v>
      </c>
      <c r="G365" s="16" t="s">
        <v>165</v>
      </c>
      <c r="H365" s="16" t="s">
        <v>85</v>
      </c>
      <c r="I365" s="16" t="s">
        <v>40</v>
      </c>
      <c r="J365" s="16" t="s">
        <v>168</v>
      </c>
      <c r="K365" s="16" t="s">
        <v>169</v>
      </c>
      <c r="L365" s="15">
        <v>-435493.14411798702</v>
      </c>
      <c r="M365" s="15">
        <v>-435493.14411798702</v>
      </c>
      <c r="N365" s="15">
        <v>-435493.17960000003</v>
      </c>
      <c r="O365" s="15">
        <v>3.5482012899592519E-2</v>
      </c>
      <c r="P365" s="15">
        <v>3.5482012899592519E-2</v>
      </c>
      <c r="Q365" s="15">
        <f t="shared" si="22"/>
        <v>3.5482012899592519E-2</v>
      </c>
      <c r="R365" s="15">
        <v>0</v>
      </c>
      <c r="S365" s="15">
        <f t="shared" si="23"/>
        <v>3.5482012899592519E-2</v>
      </c>
      <c r="T365" s="16"/>
      <c r="U365" s="16"/>
    </row>
    <row r="366" spans="1:21" hidden="1" x14ac:dyDescent="0.25">
      <c r="A366" s="16" t="s">
        <v>37</v>
      </c>
      <c r="B366" s="16" t="s">
        <v>257</v>
      </c>
      <c r="C366" s="16" t="s">
        <v>258</v>
      </c>
      <c r="D366" s="16" t="s">
        <v>100</v>
      </c>
      <c r="E366" s="16" t="s">
        <v>101</v>
      </c>
      <c r="F366" s="16" t="s">
        <v>164</v>
      </c>
      <c r="G366" s="16" t="s">
        <v>165</v>
      </c>
      <c r="H366" s="16" t="s">
        <v>85</v>
      </c>
      <c r="I366" s="16" t="s">
        <v>40</v>
      </c>
      <c r="J366" s="16" t="s">
        <v>296</v>
      </c>
      <c r="K366" s="16" t="s">
        <v>297</v>
      </c>
      <c r="L366" s="15">
        <v>-4726.7399465557019</v>
      </c>
      <c r="M366" s="15">
        <v>-89.834953749999983</v>
      </c>
      <c r="N366" s="15">
        <v>-4726.4953832000001</v>
      </c>
      <c r="O366" s="15">
        <v>-0.24456335570175725</v>
      </c>
      <c r="P366" s="15">
        <v>-0.24456335570175725</v>
      </c>
      <c r="Q366" s="15">
        <f t="shared" si="22"/>
        <v>-0.24456335570175725</v>
      </c>
      <c r="R366" s="15">
        <v>0</v>
      </c>
      <c r="S366" s="15">
        <f t="shared" si="23"/>
        <v>-0.24456335570175725</v>
      </c>
      <c r="T366" s="16"/>
      <c r="U366" s="26"/>
    </row>
    <row r="367" spans="1:21" x14ac:dyDescent="0.25">
      <c r="A367" s="16" t="s">
        <v>37</v>
      </c>
      <c r="B367" s="16" t="s">
        <v>269</v>
      </c>
      <c r="C367" s="16" t="s">
        <v>270</v>
      </c>
      <c r="D367" s="16" t="s">
        <v>100</v>
      </c>
      <c r="E367" s="16" t="s">
        <v>101</v>
      </c>
      <c r="F367" s="16" t="s">
        <v>164</v>
      </c>
      <c r="G367" s="16" t="s">
        <v>165</v>
      </c>
      <c r="H367" s="16" t="s">
        <v>85</v>
      </c>
      <c r="I367" s="16" t="s">
        <v>40</v>
      </c>
      <c r="J367" s="16" t="s">
        <v>124</v>
      </c>
      <c r="K367" s="16" t="s">
        <v>125</v>
      </c>
      <c r="L367" s="15">
        <v>-1762.1511113870417</v>
      </c>
      <c r="M367" s="15">
        <v>0</v>
      </c>
      <c r="N367" s="15">
        <v>-1644.9299999999985</v>
      </c>
      <c r="O367" s="15">
        <v>-117.22111138704327</v>
      </c>
      <c r="P367" s="15">
        <v>0</v>
      </c>
      <c r="Q367" s="15">
        <f t="shared" si="22"/>
        <v>0</v>
      </c>
      <c r="R367" s="15">
        <v>0</v>
      </c>
      <c r="S367" s="15">
        <f t="shared" si="23"/>
        <v>0</v>
      </c>
      <c r="T367" s="16"/>
      <c r="U367" s="16"/>
    </row>
    <row r="368" spans="1:21" hidden="1" x14ac:dyDescent="0.25">
      <c r="A368" s="16" t="s">
        <v>37</v>
      </c>
      <c r="B368" s="16" t="s">
        <v>263</v>
      </c>
      <c r="C368" s="16" t="s">
        <v>264</v>
      </c>
      <c r="D368" s="16" t="s">
        <v>100</v>
      </c>
      <c r="E368" s="16" t="s">
        <v>101</v>
      </c>
      <c r="F368" s="16" t="s">
        <v>164</v>
      </c>
      <c r="G368" s="16" t="s">
        <v>165</v>
      </c>
      <c r="H368" s="16" t="s">
        <v>85</v>
      </c>
      <c r="I368" s="16" t="s">
        <v>40</v>
      </c>
      <c r="J368" s="16" t="s">
        <v>124</v>
      </c>
      <c r="K368" s="16" t="s">
        <v>125</v>
      </c>
      <c r="L368" s="15">
        <v>-253639.79513602325</v>
      </c>
      <c r="M368" s="15">
        <v>0</v>
      </c>
      <c r="N368" s="15">
        <v>-253639.6887796782</v>
      </c>
      <c r="O368" s="15">
        <v>-0.10635634500067681</v>
      </c>
      <c r="P368" s="15">
        <v>0</v>
      </c>
      <c r="Q368" s="15">
        <f t="shared" si="22"/>
        <v>0</v>
      </c>
      <c r="R368" s="15">
        <v>0</v>
      </c>
      <c r="S368" s="15">
        <f t="shared" si="23"/>
        <v>0</v>
      </c>
      <c r="T368" s="16"/>
      <c r="U368" s="16"/>
    </row>
    <row r="369" spans="1:21" hidden="1" x14ac:dyDescent="0.25">
      <c r="A369" s="16" t="s">
        <v>37</v>
      </c>
      <c r="B369" s="16" t="s">
        <v>257</v>
      </c>
      <c r="C369" s="16" t="s">
        <v>258</v>
      </c>
      <c r="D369" s="16" t="s">
        <v>100</v>
      </c>
      <c r="E369" s="16" t="s">
        <v>101</v>
      </c>
      <c r="F369" s="16" t="s">
        <v>164</v>
      </c>
      <c r="G369" s="16" t="s">
        <v>165</v>
      </c>
      <c r="H369" s="16" t="s">
        <v>85</v>
      </c>
      <c r="I369" s="16" t="s">
        <v>40</v>
      </c>
      <c r="J369" s="16" t="s">
        <v>124</v>
      </c>
      <c r="K369" s="16" t="s">
        <v>125</v>
      </c>
      <c r="L369" s="15">
        <v>-35.563699999999997</v>
      </c>
      <c r="M369" s="15">
        <v>0</v>
      </c>
      <c r="N369" s="15">
        <v>-26.950196000000002</v>
      </c>
      <c r="O369" s="15">
        <v>-8.6135039999999954</v>
      </c>
      <c r="P369" s="15">
        <v>0</v>
      </c>
      <c r="Q369" s="15">
        <f t="shared" si="22"/>
        <v>0</v>
      </c>
      <c r="R369" s="15">
        <v>0</v>
      </c>
      <c r="S369" s="15">
        <f t="shared" si="23"/>
        <v>0</v>
      </c>
      <c r="T369" s="16"/>
      <c r="U369" s="26"/>
    </row>
    <row r="370" spans="1:21" hidden="1" x14ac:dyDescent="0.25">
      <c r="A370" s="16" t="s">
        <v>37</v>
      </c>
      <c r="B370" s="16" t="s">
        <v>257</v>
      </c>
      <c r="C370" s="16" t="s">
        <v>258</v>
      </c>
      <c r="D370" s="16" t="s">
        <v>100</v>
      </c>
      <c r="E370" s="16" t="s">
        <v>101</v>
      </c>
      <c r="F370" s="16" t="s">
        <v>164</v>
      </c>
      <c r="G370" s="16" t="s">
        <v>165</v>
      </c>
      <c r="H370" s="16" t="s">
        <v>85</v>
      </c>
      <c r="I370" s="16" t="s">
        <v>40</v>
      </c>
      <c r="J370" s="16" t="s">
        <v>298</v>
      </c>
      <c r="K370" s="16" t="s">
        <v>299</v>
      </c>
      <c r="L370" s="15">
        <v>-5364.1007987000012</v>
      </c>
      <c r="M370" s="15">
        <v>-219.5775120000001</v>
      </c>
      <c r="N370" s="15">
        <v>-3413.8439890623999</v>
      </c>
      <c r="O370" s="15">
        <v>-1950.2568096376012</v>
      </c>
      <c r="P370" s="15">
        <v>-1950.2568096376012</v>
      </c>
      <c r="Q370" s="15">
        <f t="shared" si="22"/>
        <v>-1950.2568096376012</v>
      </c>
      <c r="R370" s="15">
        <v>0</v>
      </c>
      <c r="S370" s="15">
        <f t="shared" si="23"/>
        <v>-1950.2568096376012</v>
      </c>
      <c r="T370" s="16"/>
      <c r="U370" s="26"/>
    </row>
    <row r="371" spans="1:21" x14ac:dyDescent="0.25">
      <c r="A371" s="16" t="s">
        <v>37</v>
      </c>
      <c r="B371" s="16" t="s">
        <v>269</v>
      </c>
      <c r="C371" s="16" t="s">
        <v>270</v>
      </c>
      <c r="D371" s="16" t="s">
        <v>100</v>
      </c>
      <c r="E371" s="16" t="s">
        <v>101</v>
      </c>
      <c r="F371" s="16" t="s">
        <v>164</v>
      </c>
      <c r="G371" s="16" t="s">
        <v>165</v>
      </c>
      <c r="H371" s="16" t="s">
        <v>85</v>
      </c>
      <c r="I371" s="16" t="s">
        <v>40</v>
      </c>
      <c r="J371" s="16" t="s">
        <v>132</v>
      </c>
      <c r="K371" s="16" t="s">
        <v>133</v>
      </c>
      <c r="L371" s="15">
        <v>-47244.091990828034</v>
      </c>
      <c r="M371" s="15">
        <v>-47244.091990828034</v>
      </c>
      <c r="N371" s="15">
        <v>-47244.089991383909</v>
      </c>
      <c r="O371" s="15">
        <v>-1.9994441099697724E-3</v>
      </c>
      <c r="P371" s="15">
        <v>0</v>
      </c>
      <c r="Q371" s="15">
        <f t="shared" si="22"/>
        <v>0</v>
      </c>
      <c r="R371" s="15">
        <v>0</v>
      </c>
      <c r="S371" s="15">
        <f t="shared" si="23"/>
        <v>0</v>
      </c>
      <c r="T371" s="16"/>
      <c r="U371" s="16"/>
    </row>
    <row r="372" spans="1:21" hidden="1" x14ac:dyDescent="0.25">
      <c r="A372" s="16" t="s">
        <v>37</v>
      </c>
      <c r="B372" s="16" t="s">
        <v>257</v>
      </c>
      <c r="C372" s="16" t="s">
        <v>258</v>
      </c>
      <c r="D372" s="16" t="s">
        <v>100</v>
      </c>
      <c r="E372" s="16" t="s">
        <v>101</v>
      </c>
      <c r="F372" s="16" t="s">
        <v>164</v>
      </c>
      <c r="G372" s="16" t="s">
        <v>165</v>
      </c>
      <c r="H372" s="16" t="s">
        <v>85</v>
      </c>
      <c r="I372" s="16" t="s">
        <v>40</v>
      </c>
      <c r="J372" s="16" t="s">
        <v>302</v>
      </c>
      <c r="K372" s="16" t="s">
        <v>303</v>
      </c>
      <c r="L372" s="15">
        <v>-3389.8305042372876</v>
      </c>
      <c r="M372" s="15">
        <v>0</v>
      </c>
      <c r="N372" s="15">
        <v>-1610.0000000000002</v>
      </c>
      <c r="O372" s="15">
        <v>-1779.8305042372876</v>
      </c>
      <c r="P372" s="15">
        <v>-1779.8305042372876</v>
      </c>
      <c r="Q372" s="15">
        <v>0</v>
      </c>
      <c r="R372" s="15">
        <v>0</v>
      </c>
      <c r="S372" s="15">
        <f t="shared" si="23"/>
        <v>0</v>
      </c>
      <c r="T372" s="16"/>
      <c r="U372" s="26"/>
    </row>
    <row r="373" spans="1:21" x14ac:dyDescent="0.25">
      <c r="A373" s="28" t="s">
        <v>37</v>
      </c>
      <c r="B373" s="28" t="s">
        <v>269</v>
      </c>
      <c r="C373" s="28" t="s">
        <v>270</v>
      </c>
      <c r="D373" s="28" t="s">
        <v>100</v>
      </c>
      <c r="E373" s="28" t="s">
        <v>101</v>
      </c>
      <c r="F373" s="28" t="s">
        <v>164</v>
      </c>
      <c r="G373" s="28" t="s">
        <v>165</v>
      </c>
      <c r="H373" s="28" t="s">
        <v>85</v>
      </c>
      <c r="I373" s="28" t="s">
        <v>40</v>
      </c>
      <c r="J373" s="28" t="s">
        <v>64</v>
      </c>
      <c r="K373" s="28" t="s">
        <v>65</v>
      </c>
      <c r="L373" s="29">
        <v>-424032.71597970952</v>
      </c>
      <c r="M373" s="29">
        <v>0</v>
      </c>
      <c r="N373" s="29">
        <v>-23232.16996318633</v>
      </c>
      <c r="O373" s="29">
        <v>-400800.54601652321</v>
      </c>
      <c r="P373" s="29">
        <v>-400800.54601652321</v>
      </c>
      <c r="Q373" s="29">
        <f t="shared" si="22"/>
        <v>-400800.54601652321</v>
      </c>
      <c r="R373" s="29">
        <v>0</v>
      </c>
      <c r="S373" s="29">
        <f t="shared" si="23"/>
        <v>-400800.54601652321</v>
      </c>
      <c r="T373" s="16"/>
      <c r="U373" s="16"/>
    </row>
    <row r="374" spans="1:21" x14ac:dyDescent="0.25">
      <c r="A374" s="16" t="s">
        <v>37</v>
      </c>
      <c r="B374" s="16" t="s">
        <v>269</v>
      </c>
      <c r="C374" s="16" t="s">
        <v>270</v>
      </c>
      <c r="D374" s="16" t="s">
        <v>100</v>
      </c>
      <c r="E374" s="16" t="s">
        <v>101</v>
      </c>
      <c r="F374" s="16" t="s">
        <v>164</v>
      </c>
      <c r="G374" s="16" t="s">
        <v>165</v>
      </c>
      <c r="H374" s="16" t="s">
        <v>85</v>
      </c>
      <c r="I374" s="16" t="s">
        <v>40</v>
      </c>
      <c r="J374" s="16" t="s">
        <v>66</v>
      </c>
      <c r="K374" s="16" t="s">
        <v>63</v>
      </c>
      <c r="L374" s="15">
        <v>-30979.105424211237</v>
      </c>
      <c r="M374" s="15">
        <v>-30979.105424211237</v>
      </c>
      <c r="N374" s="15">
        <v>-30979.099973732515</v>
      </c>
      <c r="O374" s="15">
        <v>-5.4504787231053342E-3</v>
      </c>
      <c r="P374" s="15">
        <v>0</v>
      </c>
      <c r="Q374" s="15">
        <f t="shared" si="22"/>
        <v>0</v>
      </c>
      <c r="R374" s="15">
        <v>0</v>
      </c>
      <c r="S374" s="15">
        <f t="shared" si="23"/>
        <v>0</v>
      </c>
      <c r="T374" s="16"/>
      <c r="U374" s="16"/>
    </row>
    <row r="375" spans="1:21" hidden="1" x14ac:dyDescent="0.25">
      <c r="A375" s="16" t="s">
        <v>37</v>
      </c>
      <c r="B375" s="16" t="s">
        <v>257</v>
      </c>
      <c r="C375" s="16" t="s">
        <v>258</v>
      </c>
      <c r="D375" s="16" t="s">
        <v>100</v>
      </c>
      <c r="E375" s="16" t="s">
        <v>101</v>
      </c>
      <c r="F375" s="16" t="s">
        <v>164</v>
      </c>
      <c r="G375" s="16" t="s">
        <v>165</v>
      </c>
      <c r="H375" s="16" t="s">
        <v>85</v>
      </c>
      <c r="I375" s="16" t="s">
        <v>40</v>
      </c>
      <c r="J375" s="16" t="s">
        <v>67</v>
      </c>
      <c r="K375" s="16" t="s">
        <v>68</v>
      </c>
      <c r="L375" s="15">
        <v>-3025</v>
      </c>
      <c r="M375" s="15">
        <v>0</v>
      </c>
      <c r="N375" s="15">
        <v>0</v>
      </c>
      <c r="O375" s="15">
        <v>-3025</v>
      </c>
      <c r="P375" s="15">
        <v>-3025</v>
      </c>
      <c r="Q375" s="15">
        <f t="shared" si="22"/>
        <v>-3025</v>
      </c>
      <c r="R375" s="15">
        <v>0</v>
      </c>
      <c r="S375" s="15">
        <f t="shared" si="23"/>
        <v>-3025</v>
      </c>
      <c r="T375" s="16"/>
      <c r="U375" s="26"/>
    </row>
    <row r="376" spans="1:21" x14ac:dyDescent="0.25">
      <c r="A376" s="16" t="s">
        <v>37</v>
      </c>
      <c r="B376" s="16" t="s">
        <v>269</v>
      </c>
      <c r="C376" s="16" t="s">
        <v>270</v>
      </c>
      <c r="D376" s="16" t="s">
        <v>100</v>
      </c>
      <c r="E376" s="16" t="s">
        <v>101</v>
      </c>
      <c r="F376" s="16" t="s">
        <v>164</v>
      </c>
      <c r="G376" s="16" t="s">
        <v>165</v>
      </c>
      <c r="H376" s="16" t="s">
        <v>85</v>
      </c>
      <c r="I376" s="16" t="s">
        <v>40</v>
      </c>
      <c r="J376" s="16" t="s">
        <v>69</v>
      </c>
      <c r="K376" s="16" t="s">
        <v>70</v>
      </c>
      <c r="L376" s="15">
        <v>-47715.850527651281</v>
      </c>
      <c r="M376" s="15">
        <v>-47715.850527651281</v>
      </c>
      <c r="N376" s="15">
        <v>-47715.849915329782</v>
      </c>
      <c r="O376" s="15">
        <v>-6.123214934632415E-4</v>
      </c>
      <c r="P376" s="15">
        <v>0</v>
      </c>
      <c r="Q376" s="15">
        <f t="shared" si="22"/>
        <v>0</v>
      </c>
      <c r="R376" s="15">
        <v>0</v>
      </c>
      <c r="S376" s="15">
        <f t="shared" si="23"/>
        <v>0</v>
      </c>
      <c r="T376" s="16"/>
      <c r="U376" s="15">
        <f t="shared" ref="U376:U377" si="25">O376</f>
        <v>-6.123214934632415E-4</v>
      </c>
    </row>
    <row r="377" spans="1:21" hidden="1" x14ac:dyDescent="0.25">
      <c r="A377" s="16" t="s">
        <v>37</v>
      </c>
      <c r="B377" s="16" t="s">
        <v>257</v>
      </c>
      <c r="C377" s="16" t="s">
        <v>258</v>
      </c>
      <c r="D377" s="16" t="s">
        <v>100</v>
      </c>
      <c r="E377" s="16" t="s">
        <v>101</v>
      </c>
      <c r="F377" s="16" t="s">
        <v>164</v>
      </c>
      <c r="G377" s="16" t="s">
        <v>165</v>
      </c>
      <c r="H377" s="16" t="s">
        <v>85</v>
      </c>
      <c r="I377" s="16" t="s">
        <v>40</v>
      </c>
      <c r="J377" s="16" t="s">
        <v>69</v>
      </c>
      <c r="K377" s="16" t="s">
        <v>70</v>
      </c>
      <c r="L377" s="15">
        <v>-2016.0409810000001</v>
      </c>
      <c r="M377" s="15">
        <v>-2016.0409810000001</v>
      </c>
      <c r="N377" s="15">
        <v>-1990.5260915700003</v>
      </c>
      <c r="O377" s="15">
        <v>-25.514889429999812</v>
      </c>
      <c r="P377" s="15">
        <v>0</v>
      </c>
      <c r="Q377" s="15">
        <f t="shared" si="22"/>
        <v>0</v>
      </c>
      <c r="R377" s="15">
        <v>0</v>
      </c>
      <c r="S377" s="15">
        <f t="shared" si="23"/>
        <v>0</v>
      </c>
      <c r="T377" s="16"/>
      <c r="U377" s="15">
        <f t="shared" si="25"/>
        <v>-25.514889429999812</v>
      </c>
    </row>
    <row r="378" spans="1:21" hidden="1" x14ac:dyDescent="0.25">
      <c r="A378" s="16" t="s">
        <v>37</v>
      </c>
      <c r="B378" s="16" t="s">
        <v>257</v>
      </c>
      <c r="C378" s="16" t="s">
        <v>258</v>
      </c>
      <c r="D378" s="16" t="s">
        <v>100</v>
      </c>
      <c r="E378" s="16" t="s">
        <v>101</v>
      </c>
      <c r="F378" s="16" t="s">
        <v>164</v>
      </c>
      <c r="G378" s="16" t="s">
        <v>165</v>
      </c>
      <c r="H378" s="16" t="s">
        <v>85</v>
      </c>
      <c r="I378" s="16" t="s">
        <v>40</v>
      </c>
      <c r="J378" s="16" t="s">
        <v>136</v>
      </c>
      <c r="K378" s="16" t="s">
        <v>137</v>
      </c>
      <c r="L378" s="15">
        <v>-10809.20000000001</v>
      </c>
      <c r="M378" s="15">
        <v>0</v>
      </c>
      <c r="N378" s="15">
        <v>-10809.199999999999</v>
      </c>
      <c r="O378" s="15">
        <v>-1.0913936421275139E-11</v>
      </c>
      <c r="P378" s="15">
        <v>-1.0913936421275139E-11</v>
      </c>
      <c r="Q378" s="15">
        <f t="shared" si="22"/>
        <v>-1.0913936421275139E-11</v>
      </c>
      <c r="R378" s="15">
        <v>0</v>
      </c>
      <c r="S378" s="15">
        <f t="shared" si="23"/>
        <v>-1.0913936421275139E-11</v>
      </c>
      <c r="T378" s="16"/>
      <c r="U378" s="26"/>
    </row>
    <row r="379" spans="1:21" x14ac:dyDescent="0.25">
      <c r="A379" s="16" t="s">
        <v>37</v>
      </c>
      <c r="B379" s="16" t="s">
        <v>269</v>
      </c>
      <c r="C379" s="16" t="s">
        <v>270</v>
      </c>
      <c r="D379" s="16" t="s">
        <v>100</v>
      </c>
      <c r="E379" s="16" t="s">
        <v>101</v>
      </c>
      <c r="F379" s="16" t="s">
        <v>170</v>
      </c>
      <c r="G379" s="16" t="s">
        <v>171</v>
      </c>
      <c r="H379" s="16" t="s">
        <v>85</v>
      </c>
      <c r="I379" s="16" t="s">
        <v>40</v>
      </c>
      <c r="J379" s="16" t="s">
        <v>38</v>
      </c>
      <c r="K379" s="16" t="s">
        <v>293</v>
      </c>
      <c r="L379" s="15">
        <v>-1565668.5707324019</v>
      </c>
      <c r="M379" s="15">
        <v>-1329.9882717523433</v>
      </c>
      <c r="N379" s="15">
        <v>-1335226.7239692453</v>
      </c>
      <c r="O379" s="15">
        <v>-230441.84676315638</v>
      </c>
      <c r="P379" s="15">
        <v>-230441.84676315638</v>
      </c>
      <c r="Q379" s="32">
        <f>P379-R379+230442</f>
        <v>0.15323684361646883</v>
      </c>
      <c r="R379" s="15">
        <v>0</v>
      </c>
      <c r="S379" s="15">
        <f t="shared" si="23"/>
        <v>0.15323684361646883</v>
      </c>
      <c r="T379" s="16"/>
      <c r="U379" s="16"/>
    </row>
    <row r="380" spans="1:21" hidden="1" x14ac:dyDescent="0.25">
      <c r="A380" s="16" t="s">
        <v>37</v>
      </c>
      <c r="B380" s="16" t="s">
        <v>263</v>
      </c>
      <c r="C380" s="16" t="s">
        <v>264</v>
      </c>
      <c r="D380" s="16" t="s">
        <v>100</v>
      </c>
      <c r="E380" s="16" t="s">
        <v>101</v>
      </c>
      <c r="F380" s="16" t="s">
        <v>170</v>
      </c>
      <c r="G380" s="16" t="s">
        <v>171</v>
      </c>
      <c r="H380" s="16" t="s">
        <v>85</v>
      </c>
      <c r="I380" s="16" t="s">
        <v>40</v>
      </c>
      <c r="J380" s="16" t="s">
        <v>38</v>
      </c>
      <c r="K380" s="16" t="s">
        <v>293</v>
      </c>
      <c r="L380" s="15">
        <v>-2661137.4347683769</v>
      </c>
      <c r="M380" s="15">
        <v>2.0000000063191692E-5</v>
      </c>
      <c r="N380" s="15">
        <v>-2665154.282090697</v>
      </c>
      <c r="O380" s="15">
        <v>4016.8473223203328</v>
      </c>
      <c r="P380" s="15">
        <f>O380</f>
        <v>4016.8473223203328</v>
      </c>
      <c r="Q380" s="15">
        <f>P380-R380-4017</f>
        <v>-0.15267767966724932</v>
      </c>
      <c r="R380" s="15">
        <v>0</v>
      </c>
      <c r="S380" s="15">
        <f t="shared" si="23"/>
        <v>-0.15267767966724932</v>
      </c>
      <c r="T380" s="16"/>
      <c r="U380" s="16"/>
    </row>
    <row r="381" spans="1:21" x14ac:dyDescent="0.25">
      <c r="A381" s="16" t="s">
        <v>37</v>
      </c>
      <c r="B381" s="16" t="s">
        <v>269</v>
      </c>
      <c r="C381" s="16" t="s">
        <v>270</v>
      </c>
      <c r="D381" s="16" t="s">
        <v>100</v>
      </c>
      <c r="E381" s="16" t="s">
        <v>101</v>
      </c>
      <c r="F381" s="16" t="s">
        <v>170</v>
      </c>
      <c r="G381" s="16" t="s">
        <v>171</v>
      </c>
      <c r="H381" s="16" t="s">
        <v>85</v>
      </c>
      <c r="I381" s="16" t="s">
        <v>40</v>
      </c>
      <c r="J381" s="16" t="s">
        <v>130</v>
      </c>
      <c r="K381" s="16" t="s">
        <v>131</v>
      </c>
      <c r="L381" s="15">
        <v>-36.429699098618585</v>
      </c>
      <c r="M381" s="15">
        <v>-36.429699098618585</v>
      </c>
      <c r="N381" s="15">
        <v>0</v>
      </c>
      <c r="O381" s="15">
        <v>-36.429699098618585</v>
      </c>
      <c r="P381" s="15">
        <v>-36.429699098618585</v>
      </c>
      <c r="Q381" s="15">
        <f t="shared" si="22"/>
        <v>-36.429699098618585</v>
      </c>
      <c r="R381" s="15">
        <v>0</v>
      </c>
      <c r="S381" s="15">
        <f t="shared" si="23"/>
        <v>-36.429699098618585</v>
      </c>
      <c r="T381" s="16"/>
      <c r="U381" s="16"/>
    </row>
    <row r="382" spans="1:21" hidden="1" x14ac:dyDescent="0.25">
      <c r="A382" s="16" t="s">
        <v>37</v>
      </c>
      <c r="B382" s="16" t="s">
        <v>263</v>
      </c>
      <c r="C382" s="16" t="s">
        <v>264</v>
      </c>
      <c r="D382" s="16" t="s">
        <v>100</v>
      </c>
      <c r="E382" s="16" t="s">
        <v>101</v>
      </c>
      <c r="F382" s="16" t="s">
        <v>170</v>
      </c>
      <c r="G382" s="16" t="s">
        <v>171</v>
      </c>
      <c r="H382" s="16" t="s">
        <v>85</v>
      </c>
      <c r="I382" s="16" t="s">
        <v>40</v>
      </c>
      <c r="J382" s="16" t="s">
        <v>168</v>
      </c>
      <c r="K382" s="16" t="s">
        <v>169</v>
      </c>
      <c r="L382" s="15">
        <v>0</v>
      </c>
      <c r="M382" s="15">
        <v>0</v>
      </c>
      <c r="N382" s="15">
        <v>1.9999999992137418E-4</v>
      </c>
      <c r="O382" s="15">
        <v>-1.9999999992137418E-4</v>
      </c>
      <c r="P382" s="15">
        <v>-1.9999999992137418E-4</v>
      </c>
      <c r="Q382" s="15">
        <f t="shared" si="22"/>
        <v>-1.9999999992137418E-4</v>
      </c>
      <c r="R382" s="15">
        <v>0</v>
      </c>
      <c r="S382" s="15">
        <f t="shared" si="23"/>
        <v>-1.9999999992137418E-4</v>
      </c>
      <c r="T382" s="16"/>
      <c r="U382" s="16"/>
    </row>
    <row r="383" spans="1:21" hidden="1" x14ac:dyDescent="0.25">
      <c r="A383" s="16" t="s">
        <v>37</v>
      </c>
      <c r="B383" s="16" t="s">
        <v>263</v>
      </c>
      <c r="C383" s="16" t="s">
        <v>264</v>
      </c>
      <c r="D383" s="16" t="s">
        <v>100</v>
      </c>
      <c r="E383" s="16" t="s">
        <v>101</v>
      </c>
      <c r="F383" s="16" t="s">
        <v>170</v>
      </c>
      <c r="G383" s="16" t="s">
        <v>171</v>
      </c>
      <c r="H383" s="16" t="s">
        <v>85</v>
      </c>
      <c r="I383" s="16" t="s">
        <v>40</v>
      </c>
      <c r="J383" s="16" t="s">
        <v>172</v>
      </c>
      <c r="K383" s="16" t="s">
        <v>173</v>
      </c>
      <c r="L383" s="15">
        <v>-1922.8599899998808</v>
      </c>
      <c r="M383" s="15">
        <v>-1922.8599899998808</v>
      </c>
      <c r="N383" s="15">
        <v>-1922.86</v>
      </c>
      <c r="O383" s="15">
        <v>1.0000119232245197E-5</v>
      </c>
      <c r="P383" s="15">
        <v>1.0000119232245197E-5</v>
      </c>
      <c r="Q383" s="15">
        <f t="shared" si="22"/>
        <v>1.0000119232245197E-5</v>
      </c>
      <c r="R383" s="15">
        <v>0</v>
      </c>
      <c r="S383" s="15">
        <f t="shared" si="23"/>
        <v>1.0000119232245197E-5</v>
      </c>
      <c r="T383" s="16"/>
      <c r="U383" s="16"/>
    </row>
    <row r="384" spans="1:21" hidden="1" x14ac:dyDescent="0.25">
      <c r="A384" s="16" t="s">
        <v>37</v>
      </c>
      <c r="B384" s="16" t="s">
        <v>257</v>
      </c>
      <c r="C384" s="16" t="s">
        <v>258</v>
      </c>
      <c r="D384" s="16" t="s">
        <v>100</v>
      </c>
      <c r="E384" s="16" t="s">
        <v>101</v>
      </c>
      <c r="F384" s="16" t="s">
        <v>170</v>
      </c>
      <c r="G384" s="16" t="s">
        <v>171</v>
      </c>
      <c r="H384" s="16" t="s">
        <v>85</v>
      </c>
      <c r="I384" s="16" t="s">
        <v>40</v>
      </c>
      <c r="J384" s="16" t="s">
        <v>296</v>
      </c>
      <c r="K384" s="16" t="s">
        <v>297</v>
      </c>
      <c r="L384" s="15">
        <v>-7105.0150322688969</v>
      </c>
      <c r="M384" s="15">
        <v>-100.15342665</v>
      </c>
      <c r="N384" s="15">
        <v>-7105.0150447999995</v>
      </c>
      <c r="O384" s="15">
        <v>1.253110258403467E-5</v>
      </c>
      <c r="P384" s="15">
        <v>0</v>
      </c>
      <c r="Q384" s="15">
        <f t="shared" si="22"/>
        <v>0</v>
      </c>
      <c r="R384" s="15">
        <v>0</v>
      </c>
      <c r="S384" s="15">
        <f t="shared" si="23"/>
        <v>0</v>
      </c>
      <c r="T384" s="16"/>
      <c r="U384" s="26"/>
    </row>
    <row r="385" spans="1:21" x14ac:dyDescent="0.25">
      <c r="A385" s="16" t="s">
        <v>37</v>
      </c>
      <c r="B385" s="16" t="s">
        <v>269</v>
      </c>
      <c r="C385" s="16" t="s">
        <v>270</v>
      </c>
      <c r="D385" s="16" t="s">
        <v>100</v>
      </c>
      <c r="E385" s="16" t="s">
        <v>101</v>
      </c>
      <c r="F385" s="16" t="s">
        <v>170</v>
      </c>
      <c r="G385" s="16" t="s">
        <v>171</v>
      </c>
      <c r="H385" s="16" t="s">
        <v>85</v>
      </c>
      <c r="I385" s="16" t="s">
        <v>40</v>
      </c>
      <c r="J385" s="16" t="s">
        <v>124</v>
      </c>
      <c r="K385" s="16" t="s">
        <v>125</v>
      </c>
      <c r="L385" s="15">
        <v>-2564.4841274281071</v>
      </c>
      <c r="M385" s="15">
        <v>0</v>
      </c>
      <c r="N385" s="15">
        <v>-2402.9999999999982</v>
      </c>
      <c r="O385" s="15">
        <v>-161.48412742810831</v>
      </c>
      <c r="P385" s="15">
        <v>0</v>
      </c>
      <c r="Q385" s="15">
        <f t="shared" si="22"/>
        <v>0</v>
      </c>
      <c r="R385" s="15">
        <v>0</v>
      </c>
      <c r="S385" s="15">
        <f t="shared" si="23"/>
        <v>0</v>
      </c>
      <c r="T385" s="16"/>
      <c r="U385" s="16"/>
    </row>
    <row r="386" spans="1:21" hidden="1" x14ac:dyDescent="0.25">
      <c r="A386" s="16" t="s">
        <v>37</v>
      </c>
      <c r="B386" s="16" t="s">
        <v>263</v>
      </c>
      <c r="C386" s="16" t="s">
        <v>264</v>
      </c>
      <c r="D386" s="16" t="s">
        <v>100</v>
      </c>
      <c r="E386" s="16" t="s">
        <v>101</v>
      </c>
      <c r="F386" s="16" t="s">
        <v>170</v>
      </c>
      <c r="G386" s="16" t="s">
        <v>171</v>
      </c>
      <c r="H386" s="16" t="s">
        <v>85</v>
      </c>
      <c r="I386" s="16" t="s">
        <v>40</v>
      </c>
      <c r="J386" s="16" t="s">
        <v>124</v>
      </c>
      <c r="K386" s="16" t="s">
        <v>125</v>
      </c>
      <c r="L386" s="15">
        <v>-383022.38531277719</v>
      </c>
      <c r="M386" s="15">
        <v>0</v>
      </c>
      <c r="N386" s="15">
        <v>-383021.86092032172</v>
      </c>
      <c r="O386" s="15">
        <v>-0.52439245529239997</v>
      </c>
      <c r="P386" s="15">
        <v>0</v>
      </c>
      <c r="Q386" s="15">
        <f t="shared" si="22"/>
        <v>0</v>
      </c>
      <c r="R386" s="15">
        <v>0</v>
      </c>
      <c r="S386" s="15">
        <f t="shared" si="23"/>
        <v>0</v>
      </c>
      <c r="T386" s="16"/>
      <c r="U386" s="16"/>
    </row>
    <row r="387" spans="1:21" x14ac:dyDescent="0.25">
      <c r="A387" s="16" t="s">
        <v>37</v>
      </c>
      <c r="B387" s="16" t="s">
        <v>269</v>
      </c>
      <c r="C387" s="16" t="s">
        <v>270</v>
      </c>
      <c r="D387" s="16" t="s">
        <v>100</v>
      </c>
      <c r="E387" s="16" t="s">
        <v>101</v>
      </c>
      <c r="F387" s="16" t="s">
        <v>170</v>
      </c>
      <c r="G387" s="16" t="s">
        <v>171</v>
      </c>
      <c r="H387" s="16" t="s">
        <v>85</v>
      </c>
      <c r="I387" s="16" t="s">
        <v>40</v>
      </c>
      <c r="J387" s="16" t="s">
        <v>132</v>
      </c>
      <c r="K387" s="16" t="s">
        <v>133</v>
      </c>
      <c r="L387" s="15">
        <v>-93924.265407784973</v>
      </c>
      <c r="M387" s="15">
        <v>-93924.265407784973</v>
      </c>
      <c r="N387" s="15">
        <v>-93924.259982870673</v>
      </c>
      <c r="O387" s="15">
        <v>-5.4249142904154724E-3</v>
      </c>
      <c r="P387" s="15">
        <v>0</v>
      </c>
      <c r="Q387" s="15">
        <f t="shared" si="22"/>
        <v>0</v>
      </c>
      <c r="R387" s="15">
        <v>0</v>
      </c>
      <c r="S387" s="15">
        <f t="shared" si="23"/>
        <v>0</v>
      </c>
      <c r="T387" s="16"/>
      <c r="U387" s="16"/>
    </row>
    <row r="388" spans="1:21" x14ac:dyDescent="0.25">
      <c r="A388" s="28" t="s">
        <v>37</v>
      </c>
      <c r="B388" s="28" t="s">
        <v>269</v>
      </c>
      <c r="C388" s="28" t="s">
        <v>270</v>
      </c>
      <c r="D388" s="28" t="s">
        <v>100</v>
      </c>
      <c r="E388" s="28" t="s">
        <v>101</v>
      </c>
      <c r="F388" s="28" t="s">
        <v>170</v>
      </c>
      <c r="G388" s="28" t="s">
        <v>171</v>
      </c>
      <c r="H388" s="28" t="s">
        <v>85</v>
      </c>
      <c r="I388" s="28" t="s">
        <v>40</v>
      </c>
      <c r="J388" s="28" t="s">
        <v>64</v>
      </c>
      <c r="K388" s="28" t="s">
        <v>65</v>
      </c>
      <c r="L388" s="29">
        <v>-635348.79196819058</v>
      </c>
      <c r="M388" s="29">
        <v>0</v>
      </c>
      <c r="N388" s="29">
        <v>-632848.78899718856</v>
      </c>
      <c r="O388" s="29">
        <v>-2500.0029710020754</v>
      </c>
      <c r="P388" s="29">
        <v>-2500.0029710020754</v>
      </c>
      <c r="Q388" s="29">
        <f t="shared" si="22"/>
        <v>-2500.0029710020754</v>
      </c>
      <c r="R388" s="29">
        <v>0</v>
      </c>
      <c r="S388" s="29">
        <f t="shared" si="23"/>
        <v>-2500.0029710020754</v>
      </c>
      <c r="T388" s="16"/>
      <c r="U388" s="16"/>
    </row>
    <row r="389" spans="1:21" x14ac:dyDescent="0.25">
      <c r="A389" s="16" t="s">
        <v>37</v>
      </c>
      <c r="B389" s="16" t="s">
        <v>269</v>
      </c>
      <c r="C389" s="16" t="s">
        <v>270</v>
      </c>
      <c r="D389" s="16" t="s">
        <v>100</v>
      </c>
      <c r="E389" s="16" t="s">
        <v>101</v>
      </c>
      <c r="F389" s="16" t="s">
        <v>170</v>
      </c>
      <c r="G389" s="16" t="s">
        <v>171</v>
      </c>
      <c r="H389" s="16" t="s">
        <v>85</v>
      </c>
      <c r="I389" s="16" t="s">
        <v>40</v>
      </c>
      <c r="J389" s="16" t="s">
        <v>66</v>
      </c>
      <c r="K389" s="16" t="s">
        <v>63</v>
      </c>
      <c r="L389" s="15">
        <v>-6543.8191307614525</v>
      </c>
      <c r="M389" s="15">
        <v>-6543.8191307614525</v>
      </c>
      <c r="N389" s="15">
        <v>-6543.8099944514379</v>
      </c>
      <c r="O389" s="15">
        <v>-9.1363100198122993E-3</v>
      </c>
      <c r="P389" s="15">
        <v>0</v>
      </c>
      <c r="Q389" s="15">
        <f t="shared" si="22"/>
        <v>0</v>
      </c>
      <c r="R389" s="15">
        <v>0</v>
      </c>
      <c r="S389" s="15">
        <f t="shared" si="23"/>
        <v>0</v>
      </c>
      <c r="T389" s="16"/>
      <c r="U389" s="16"/>
    </row>
    <row r="390" spans="1:21" hidden="1" x14ac:dyDescent="0.25">
      <c r="A390" s="16" t="s">
        <v>37</v>
      </c>
      <c r="B390" s="16" t="s">
        <v>263</v>
      </c>
      <c r="C390" s="16" t="s">
        <v>264</v>
      </c>
      <c r="D390" s="16" t="s">
        <v>100</v>
      </c>
      <c r="E390" s="16" t="s">
        <v>101</v>
      </c>
      <c r="F390" s="16" t="s">
        <v>170</v>
      </c>
      <c r="G390" s="16" t="s">
        <v>171</v>
      </c>
      <c r="H390" s="16" t="s">
        <v>85</v>
      </c>
      <c r="I390" s="16" t="s">
        <v>40</v>
      </c>
      <c r="J390" s="16" t="s">
        <v>67</v>
      </c>
      <c r="K390" s="16" t="s">
        <v>68</v>
      </c>
      <c r="L390" s="15">
        <v>-6830.0098999999864</v>
      </c>
      <c r="M390" s="15">
        <v>0</v>
      </c>
      <c r="N390" s="15">
        <v>-6830.0099999999993</v>
      </c>
      <c r="O390" s="15">
        <v>1.0000001202570274E-4</v>
      </c>
      <c r="P390" s="15">
        <v>0</v>
      </c>
      <c r="Q390" s="15">
        <f t="shared" si="22"/>
        <v>0</v>
      </c>
      <c r="R390" s="15">
        <v>0</v>
      </c>
      <c r="S390" s="15">
        <f t="shared" si="23"/>
        <v>0</v>
      </c>
      <c r="T390" s="16"/>
      <c r="U390" s="16"/>
    </row>
    <row r="391" spans="1:21" x14ac:dyDescent="0.25">
      <c r="A391" s="16" t="s">
        <v>37</v>
      </c>
      <c r="B391" s="16" t="s">
        <v>269</v>
      </c>
      <c r="C391" s="16" t="s">
        <v>270</v>
      </c>
      <c r="D391" s="16" t="s">
        <v>100</v>
      </c>
      <c r="E391" s="16" t="s">
        <v>101</v>
      </c>
      <c r="F391" s="16" t="s">
        <v>170</v>
      </c>
      <c r="G391" s="16" t="s">
        <v>171</v>
      </c>
      <c r="H391" s="16" t="s">
        <v>85</v>
      </c>
      <c r="I391" s="16" t="s">
        <v>40</v>
      </c>
      <c r="J391" s="16" t="s">
        <v>69</v>
      </c>
      <c r="K391" s="16" t="s">
        <v>70</v>
      </c>
      <c r="L391" s="15">
        <v>-85949.056882409292</v>
      </c>
      <c r="M391" s="15">
        <v>-85949.056882409292</v>
      </c>
      <c r="N391" s="15">
        <v>-85949.059847486176</v>
      </c>
      <c r="O391" s="15">
        <v>2.9650768938154215E-3</v>
      </c>
      <c r="P391" s="15">
        <v>0</v>
      </c>
      <c r="Q391" s="15">
        <f t="shared" si="22"/>
        <v>0</v>
      </c>
      <c r="R391" s="15">
        <v>0</v>
      </c>
      <c r="S391" s="15">
        <f t="shared" si="23"/>
        <v>0</v>
      </c>
      <c r="T391" s="16"/>
      <c r="U391" s="15">
        <f>O391</f>
        <v>2.9650768938154215E-3</v>
      </c>
    </row>
    <row r="392" spans="1:21" hidden="1" x14ac:dyDescent="0.25">
      <c r="A392" s="16" t="s">
        <v>37</v>
      </c>
      <c r="B392" s="16" t="s">
        <v>263</v>
      </c>
      <c r="C392" s="16" t="s">
        <v>264</v>
      </c>
      <c r="D392" s="16" t="s">
        <v>100</v>
      </c>
      <c r="E392" s="16" t="s">
        <v>101</v>
      </c>
      <c r="F392" s="16" t="s">
        <v>170</v>
      </c>
      <c r="G392" s="16" t="s">
        <v>171</v>
      </c>
      <c r="H392" s="16" t="s">
        <v>85</v>
      </c>
      <c r="I392" s="16" t="s">
        <v>40</v>
      </c>
      <c r="J392" s="16" t="s">
        <v>174</v>
      </c>
      <c r="K392" s="16" t="s">
        <v>175</v>
      </c>
      <c r="L392" s="15">
        <v>0</v>
      </c>
      <c r="M392" s="15">
        <v>0</v>
      </c>
      <c r="N392" s="15">
        <v>16.940200000000001</v>
      </c>
      <c r="O392" s="15">
        <v>-16.940200000000001</v>
      </c>
      <c r="P392" s="15">
        <v>0</v>
      </c>
      <c r="Q392" s="15">
        <f t="shared" si="22"/>
        <v>0</v>
      </c>
      <c r="R392" s="15">
        <v>0</v>
      </c>
      <c r="S392" s="15">
        <f t="shared" si="23"/>
        <v>0</v>
      </c>
      <c r="T392" s="16"/>
      <c r="U392" s="16"/>
    </row>
    <row r="393" spans="1:21" x14ac:dyDescent="0.25">
      <c r="A393" s="16" t="s">
        <v>37</v>
      </c>
      <c r="B393" s="16" t="s">
        <v>269</v>
      </c>
      <c r="C393" s="16" t="s">
        <v>270</v>
      </c>
      <c r="D393" s="16" t="s">
        <v>100</v>
      </c>
      <c r="E393" s="16" t="s">
        <v>101</v>
      </c>
      <c r="F393" s="16" t="s">
        <v>176</v>
      </c>
      <c r="G393" s="16" t="s">
        <v>177</v>
      </c>
      <c r="H393" s="16" t="s">
        <v>85</v>
      </c>
      <c r="I393" s="16" t="s">
        <v>40</v>
      </c>
      <c r="J393" s="16" t="s">
        <v>38</v>
      </c>
      <c r="K393" s="16" t="s">
        <v>293</v>
      </c>
      <c r="L393" s="15">
        <v>-713903.76864850626</v>
      </c>
      <c r="M393" s="15">
        <v>-40073.801037507772</v>
      </c>
      <c r="N393" s="15">
        <v>-646346.39744852704</v>
      </c>
      <c r="O393" s="15">
        <v>-67557.371199979272</v>
      </c>
      <c r="P393" s="15">
        <v>-67557.371199979272</v>
      </c>
      <c r="Q393" s="32">
        <f>P393-R393+67557</f>
        <v>-0.37119997927220538</v>
      </c>
      <c r="R393" s="15">
        <v>0</v>
      </c>
      <c r="S393" s="15">
        <f t="shared" si="23"/>
        <v>-0.37119997927220538</v>
      </c>
      <c r="T393" s="16"/>
      <c r="U393" s="16"/>
    </row>
    <row r="394" spans="1:21" hidden="1" x14ac:dyDescent="0.25">
      <c r="A394" s="16" t="s">
        <v>37</v>
      </c>
      <c r="B394" s="16" t="s">
        <v>261</v>
      </c>
      <c r="C394" s="16" t="s">
        <v>262</v>
      </c>
      <c r="D394" s="16" t="s">
        <v>100</v>
      </c>
      <c r="E394" s="16" t="s">
        <v>101</v>
      </c>
      <c r="F394" s="16" t="s">
        <v>176</v>
      </c>
      <c r="G394" s="16" t="s">
        <v>177</v>
      </c>
      <c r="H394" s="16" t="s">
        <v>85</v>
      </c>
      <c r="I394" s="16" t="s">
        <v>40</v>
      </c>
      <c r="J394" s="16" t="s">
        <v>38</v>
      </c>
      <c r="K394" s="16" t="s">
        <v>293</v>
      </c>
      <c r="L394" s="15">
        <v>-1706161.5700312969</v>
      </c>
      <c r="M394" s="15">
        <v>-750.45</v>
      </c>
      <c r="N394" s="15">
        <v>-1594147.5389106246</v>
      </c>
      <c r="O394" s="15">
        <v>-112014.0311206722</v>
      </c>
      <c r="P394" s="15">
        <v>-112014.0311206722</v>
      </c>
      <c r="Q394" s="15">
        <f t="shared" si="22"/>
        <v>-112014.0311206722</v>
      </c>
      <c r="R394" s="15">
        <v>0</v>
      </c>
      <c r="S394" s="15">
        <f t="shared" si="23"/>
        <v>-112014.0311206722</v>
      </c>
      <c r="T394" s="16"/>
      <c r="U394" s="16"/>
    </row>
    <row r="395" spans="1:21" x14ac:dyDescent="0.25">
      <c r="A395" s="16" t="s">
        <v>37</v>
      </c>
      <c r="B395" s="16" t="s">
        <v>269</v>
      </c>
      <c r="C395" s="16" t="s">
        <v>270</v>
      </c>
      <c r="D395" s="16" t="s">
        <v>100</v>
      </c>
      <c r="E395" s="16" t="s">
        <v>101</v>
      </c>
      <c r="F395" s="16" t="s">
        <v>176</v>
      </c>
      <c r="G395" s="16" t="s">
        <v>177</v>
      </c>
      <c r="H395" s="16" t="s">
        <v>85</v>
      </c>
      <c r="I395" s="16" t="s">
        <v>40</v>
      </c>
      <c r="J395" s="16" t="s">
        <v>130</v>
      </c>
      <c r="K395" s="16" t="s">
        <v>131</v>
      </c>
      <c r="L395" s="15">
        <v>-5517.7300000190498</v>
      </c>
      <c r="M395" s="15">
        <v>-5517.7300000190498</v>
      </c>
      <c r="N395" s="15">
        <v>0</v>
      </c>
      <c r="O395" s="15">
        <v>-5517.7300000190498</v>
      </c>
      <c r="P395" s="15">
        <v>-5517.7300000190498</v>
      </c>
      <c r="Q395" s="15">
        <f t="shared" si="22"/>
        <v>-5517.7300000190498</v>
      </c>
      <c r="R395" s="15">
        <v>0</v>
      </c>
      <c r="S395" s="15">
        <f t="shared" si="23"/>
        <v>-5517.7300000190498</v>
      </c>
      <c r="T395" s="16"/>
      <c r="U395" s="16"/>
    </row>
    <row r="396" spans="1:21" hidden="1" x14ac:dyDescent="0.25">
      <c r="A396" s="16" t="s">
        <v>37</v>
      </c>
      <c r="B396" s="16" t="s">
        <v>257</v>
      </c>
      <c r="C396" s="16" t="s">
        <v>258</v>
      </c>
      <c r="D396" s="16" t="s">
        <v>100</v>
      </c>
      <c r="E396" s="16" t="s">
        <v>101</v>
      </c>
      <c r="F396" s="16" t="s">
        <v>176</v>
      </c>
      <c r="G396" s="16" t="s">
        <v>177</v>
      </c>
      <c r="H396" s="16" t="s">
        <v>85</v>
      </c>
      <c r="I396" s="16" t="s">
        <v>40</v>
      </c>
      <c r="J396" s="16" t="s">
        <v>296</v>
      </c>
      <c r="K396" s="16" t="s">
        <v>297</v>
      </c>
      <c r="L396" s="15">
        <v>-672705.61783522216</v>
      </c>
      <c r="M396" s="15">
        <v>-7029.7908981499986</v>
      </c>
      <c r="N396" s="15">
        <v>-651522.28480000002</v>
      </c>
      <c r="O396" s="15">
        <v>-21183.33303522208</v>
      </c>
      <c r="P396" s="15">
        <v>-21183.33303522208</v>
      </c>
      <c r="Q396" s="15">
        <f t="shared" ref="Q396:Q459" si="26">P396-R396</f>
        <v>-21183.33303522208</v>
      </c>
      <c r="R396" s="15">
        <v>0</v>
      </c>
      <c r="S396" s="15">
        <f t="shared" ref="S396:S459" si="27">SUM(Q396:R396)</f>
        <v>-21183.33303522208</v>
      </c>
      <c r="T396" s="16"/>
      <c r="U396" s="26"/>
    </row>
    <row r="397" spans="1:21" x14ac:dyDescent="0.25">
      <c r="A397" s="16" t="s">
        <v>37</v>
      </c>
      <c r="B397" s="16" t="s">
        <v>269</v>
      </c>
      <c r="C397" s="16" t="s">
        <v>270</v>
      </c>
      <c r="D397" s="16" t="s">
        <v>100</v>
      </c>
      <c r="E397" s="16" t="s">
        <v>101</v>
      </c>
      <c r="F397" s="16" t="s">
        <v>176</v>
      </c>
      <c r="G397" s="16" t="s">
        <v>177</v>
      </c>
      <c r="H397" s="16" t="s">
        <v>85</v>
      </c>
      <c r="I397" s="16" t="s">
        <v>40</v>
      </c>
      <c r="J397" s="16" t="s">
        <v>124</v>
      </c>
      <c r="K397" s="16" t="s">
        <v>125</v>
      </c>
      <c r="L397" s="15">
        <v>-1093.9947011876161</v>
      </c>
      <c r="M397" s="15">
        <v>0</v>
      </c>
      <c r="N397" s="15">
        <v>-672.62999999999943</v>
      </c>
      <c r="O397" s="15">
        <v>-421.36470118761645</v>
      </c>
      <c r="P397" s="15">
        <v>0</v>
      </c>
      <c r="Q397" s="15">
        <f t="shared" si="26"/>
        <v>0</v>
      </c>
      <c r="R397" s="15">
        <v>0</v>
      </c>
      <c r="S397" s="15">
        <f t="shared" si="27"/>
        <v>0</v>
      </c>
      <c r="T397" s="16"/>
      <c r="U397" s="16"/>
    </row>
    <row r="398" spans="1:21" hidden="1" x14ac:dyDescent="0.25">
      <c r="A398" s="16" t="s">
        <v>37</v>
      </c>
      <c r="B398" s="16" t="s">
        <v>261</v>
      </c>
      <c r="C398" s="16" t="s">
        <v>262</v>
      </c>
      <c r="D398" s="16" t="s">
        <v>100</v>
      </c>
      <c r="E398" s="16" t="s">
        <v>101</v>
      </c>
      <c r="F398" s="16" t="s">
        <v>176</v>
      </c>
      <c r="G398" s="16" t="s">
        <v>177</v>
      </c>
      <c r="H398" s="16" t="s">
        <v>85</v>
      </c>
      <c r="I398" s="16" t="s">
        <v>40</v>
      </c>
      <c r="J398" s="16" t="s">
        <v>124</v>
      </c>
      <c r="K398" s="16" t="s">
        <v>125</v>
      </c>
      <c r="L398" s="15">
        <v>-391676.88988095993</v>
      </c>
      <c r="M398" s="15">
        <v>0</v>
      </c>
      <c r="N398" s="15">
        <v>-342262.28268839687</v>
      </c>
      <c r="O398" s="15">
        <v>-49414.607192563155</v>
      </c>
      <c r="P398" s="15">
        <v>0</v>
      </c>
      <c r="Q398" s="15">
        <f t="shared" si="26"/>
        <v>0</v>
      </c>
      <c r="R398" s="15">
        <v>0</v>
      </c>
      <c r="S398" s="15">
        <f t="shared" si="27"/>
        <v>0</v>
      </c>
      <c r="T398" s="16"/>
      <c r="U398" s="16"/>
    </row>
    <row r="399" spans="1:21" x14ac:dyDescent="0.25">
      <c r="A399" s="16" t="s">
        <v>37</v>
      </c>
      <c r="B399" s="16" t="s">
        <v>269</v>
      </c>
      <c r="C399" s="16" t="s">
        <v>270</v>
      </c>
      <c r="D399" s="16" t="s">
        <v>100</v>
      </c>
      <c r="E399" s="16" t="s">
        <v>101</v>
      </c>
      <c r="F399" s="16" t="s">
        <v>176</v>
      </c>
      <c r="G399" s="16" t="s">
        <v>177</v>
      </c>
      <c r="H399" s="16" t="s">
        <v>85</v>
      </c>
      <c r="I399" s="16" t="s">
        <v>40</v>
      </c>
      <c r="J399" s="16" t="s">
        <v>132</v>
      </c>
      <c r="K399" s="16" t="s">
        <v>133</v>
      </c>
      <c r="L399" s="15">
        <v>-36395.066031445327</v>
      </c>
      <c r="M399" s="15">
        <v>-36395.066031445327</v>
      </c>
      <c r="N399" s="15">
        <v>-36395.069993362486</v>
      </c>
      <c r="O399" s="15">
        <v>3.9619171629965422E-3</v>
      </c>
      <c r="P399" s="15">
        <v>0</v>
      </c>
      <c r="Q399" s="15">
        <f t="shared" si="26"/>
        <v>0</v>
      </c>
      <c r="R399" s="15">
        <v>0</v>
      </c>
      <c r="S399" s="15">
        <f t="shared" si="27"/>
        <v>0</v>
      </c>
      <c r="T399" s="16"/>
      <c r="U399" s="16"/>
    </row>
    <row r="400" spans="1:21" x14ac:dyDescent="0.25">
      <c r="A400" s="16" t="s">
        <v>37</v>
      </c>
      <c r="B400" s="16" t="s">
        <v>269</v>
      </c>
      <c r="C400" s="16" t="s">
        <v>270</v>
      </c>
      <c r="D400" s="16" t="s">
        <v>100</v>
      </c>
      <c r="E400" s="16" t="s">
        <v>101</v>
      </c>
      <c r="F400" s="16" t="s">
        <v>176</v>
      </c>
      <c r="G400" s="16" t="s">
        <v>177</v>
      </c>
      <c r="H400" s="16" t="s">
        <v>85</v>
      </c>
      <c r="I400" s="16" t="s">
        <v>40</v>
      </c>
      <c r="J400" s="16" t="s">
        <v>64</v>
      </c>
      <c r="K400" s="16" t="s">
        <v>65</v>
      </c>
      <c r="L400" s="15">
        <v>-136873.13888778549</v>
      </c>
      <c r="M400" s="15">
        <v>0</v>
      </c>
      <c r="N400" s="15">
        <v>-134873.1397862802</v>
      </c>
      <c r="O400" s="15">
        <v>-1999.9991015053329</v>
      </c>
      <c r="P400" s="15">
        <v>-1999.9991015053329</v>
      </c>
      <c r="Q400" s="15">
        <f t="shared" si="26"/>
        <v>-1999.9991015053329</v>
      </c>
      <c r="R400" s="15">
        <v>0</v>
      </c>
      <c r="S400" s="15">
        <f t="shared" si="27"/>
        <v>-1999.9991015053329</v>
      </c>
      <c r="T400" s="16"/>
      <c r="U400" s="16"/>
    </row>
    <row r="401" spans="1:21" x14ac:dyDescent="0.25">
      <c r="A401" s="16" t="s">
        <v>37</v>
      </c>
      <c r="B401" s="16" t="s">
        <v>269</v>
      </c>
      <c r="C401" s="16" t="s">
        <v>270</v>
      </c>
      <c r="D401" s="16" t="s">
        <v>100</v>
      </c>
      <c r="E401" s="16" t="s">
        <v>101</v>
      </c>
      <c r="F401" s="16" t="s">
        <v>176</v>
      </c>
      <c r="G401" s="16" t="s">
        <v>177</v>
      </c>
      <c r="H401" s="16" t="s">
        <v>85</v>
      </c>
      <c r="I401" s="16" t="s">
        <v>40</v>
      </c>
      <c r="J401" s="16" t="s">
        <v>66</v>
      </c>
      <c r="K401" s="16" t="s">
        <v>63</v>
      </c>
      <c r="L401" s="15">
        <v>-86255.197282754845</v>
      </c>
      <c r="M401" s="15">
        <v>-86255.197282754845</v>
      </c>
      <c r="N401" s="15">
        <v>-86255.199926863366</v>
      </c>
      <c r="O401" s="15">
        <v>2.6441085246915463E-3</v>
      </c>
      <c r="P401" s="15">
        <v>0</v>
      </c>
      <c r="Q401" s="15">
        <f t="shared" si="26"/>
        <v>0</v>
      </c>
      <c r="R401" s="15">
        <v>0</v>
      </c>
      <c r="S401" s="15">
        <f t="shared" si="27"/>
        <v>0</v>
      </c>
      <c r="T401" s="16"/>
      <c r="U401" s="16"/>
    </row>
    <row r="402" spans="1:21" x14ac:dyDescent="0.25">
      <c r="A402" s="16" t="s">
        <v>37</v>
      </c>
      <c r="B402" s="16" t="s">
        <v>269</v>
      </c>
      <c r="C402" s="16" t="s">
        <v>270</v>
      </c>
      <c r="D402" s="16" t="s">
        <v>100</v>
      </c>
      <c r="E402" s="16" t="s">
        <v>101</v>
      </c>
      <c r="F402" s="16" t="s">
        <v>176</v>
      </c>
      <c r="G402" s="16" t="s">
        <v>177</v>
      </c>
      <c r="H402" s="16" t="s">
        <v>85</v>
      </c>
      <c r="I402" s="16" t="s">
        <v>40</v>
      </c>
      <c r="J402" s="16" t="s">
        <v>67</v>
      </c>
      <c r="K402" s="16" t="s">
        <v>68</v>
      </c>
      <c r="L402" s="15">
        <v>-34679.999999999993</v>
      </c>
      <c r="M402" s="15">
        <v>0</v>
      </c>
      <c r="N402" s="15">
        <v>0</v>
      </c>
      <c r="O402" s="15">
        <v>-34679.999999999993</v>
      </c>
      <c r="P402" s="15">
        <v>-34679.999999999993</v>
      </c>
      <c r="Q402" s="15">
        <f t="shared" si="26"/>
        <v>-34679.999999999993</v>
      </c>
      <c r="R402" s="15">
        <v>0</v>
      </c>
      <c r="S402" s="15">
        <f t="shared" si="27"/>
        <v>-34679.999999999993</v>
      </c>
      <c r="T402" s="16"/>
      <c r="U402" s="16"/>
    </row>
    <row r="403" spans="1:21" x14ac:dyDescent="0.25">
      <c r="A403" s="16" t="s">
        <v>37</v>
      </c>
      <c r="B403" s="16" t="s">
        <v>269</v>
      </c>
      <c r="C403" s="16" t="s">
        <v>270</v>
      </c>
      <c r="D403" s="16" t="s">
        <v>100</v>
      </c>
      <c r="E403" s="16" t="s">
        <v>101</v>
      </c>
      <c r="F403" s="16" t="s">
        <v>176</v>
      </c>
      <c r="G403" s="16" t="s">
        <v>177</v>
      </c>
      <c r="H403" s="16" t="s">
        <v>85</v>
      </c>
      <c r="I403" s="16" t="s">
        <v>40</v>
      </c>
      <c r="J403" s="16" t="s">
        <v>69</v>
      </c>
      <c r="K403" s="16" t="s">
        <v>70</v>
      </c>
      <c r="L403" s="15">
        <v>-2823.3816809013306</v>
      </c>
      <c r="M403" s="15">
        <v>-2823.3816809013306</v>
      </c>
      <c r="N403" s="15">
        <v>-2823.3799949900035</v>
      </c>
      <c r="O403" s="15">
        <v>-1.6859113266605164E-3</v>
      </c>
      <c r="P403" s="15">
        <v>0</v>
      </c>
      <c r="Q403" s="15">
        <f t="shared" si="26"/>
        <v>0</v>
      </c>
      <c r="R403" s="15">
        <v>0</v>
      </c>
      <c r="S403" s="15">
        <f t="shared" si="27"/>
        <v>0</v>
      </c>
      <c r="T403" s="16"/>
      <c r="U403" s="15">
        <f t="shared" ref="U403:U404" si="28">O403</f>
        <v>-1.6859113266605164E-3</v>
      </c>
    </row>
    <row r="404" spans="1:21" hidden="1" x14ac:dyDescent="0.25">
      <c r="A404" s="16" t="s">
        <v>37</v>
      </c>
      <c r="B404" s="16" t="s">
        <v>261</v>
      </c>
      <c r="C404" s="16" t="s">
        <v>262</v>
      </c>
      <c r="D404" s="16" t="s">
        <v>100</v>
      </c>
      <c r="E404" s="16" t="s">
        <v>101</v>
      </c>
      <c r="F404" s="16" t="s">
        <v>176</v>
      </c>
      <c r="G404" s="16" t="s">
        <v>177</v>
      </c>
      <c r="H404" s="16" t="s">
        <v>85</v>
      </c>
      <c r="I404" s="16" t="s">
        <v>40</v>
      </c>
      <c r="J404" s="16" t="s">
        <v>69</v>
      </c>
      <c r="K404" s="16" t="s">
        <v>70</v>
      </c>
      <c r="L404" s="15">
        <v>-16388.579996496002</v>
      </c>
      <c r="M404" s="15">
        <v>-16388.580000000002</v>
      </c>
      <c r="N404" s="15">
        <v>-14891.886400000001</v>
      </c>
      <c r="O404" s="15">
        <v>-1496.6935964959976</v>
      </c>
      <c r="P404" s="15">
        <v>0</v>
      </c>
      <c r="Q404" s="15">
        <f t="shared" si="26"/>
        <v>0</v>
      </c>
      <c r="R404" s="15">
        <v>0</v>
      </c>
      <c r="S404" s="15">
        <f t="shared" si="27"/>
        <v>0</v>
      </c>
      <c r="T404" s="16"/>
      <c r="U404" s="15">
        <f t="shared" si="28"/>
        <v>-1496.6935964959976</v>
      </c>
    </row>
    <row r="405" spans="1:21" x14ac:dyDescent="0.25">
      <c r="A405" s="16" t="s">
        <v>37</v>
      </c>
      <c r="B405" s="16" t="s">
        <v>269</v>
      </c>
      <c r="C405" s="16" t="s">
        <v>270</v>
      </c>
      <c r="D405" s="16" t="s">
        <v>100</v>
      </c>
      <c r="E405" s="16" t="s">
        <v>101</v>
      </c>
      <c r="F405" s="16" t="s">
        <v>178</v>
      </c>
      <c r="G405" s="16" t="s">
        <v>179</v>
      </c>
      <c r="H405" s="16" t="s">
        <v>85</v>
      </c>
      <c r="I405" s="16" t="s">
        <v>40</v>
      </c>
      <c r="J405" s="16" t="s">
        <v>38</v>
      </c>
      <c r="K405" s="16" t="s">
        <v>293</v>
      </c>
      <c r="L405" s="15">
        <v>-599670.67606809363</v>
      </c>
      <c r="M405" s="15">
        <v>-44580.246590751456</v>
      </c>
      <c r="N405" s="15">
        <v>-570812.96970201645</v>
      </c>
      <c r="O405" s="15">
        <v>-28857.706366077226</v>
      </c>
      <c r="P405" s="15">
        <v>-28857.706366077226</v>
      </c>
      <c r="Q405" s="15">
        <f>P405-R405+28858</f>
        <v>0.2936339227744611</v>
      </c>
      <c r="R405" s="15">
        <v>0</v>
      </c>
      <c r="S405" s="15">
        <f t="shared" si="27"/>
        <v>0.2936339227744611</v>
      </c>
      <c r="T405" s="16"/>
      <c r="U405" s="16"/>
    </row>
    <row r="406" spans="1:21" hidden="1" x14ac:dyDescent="0.25">
      <c r="A406" s="16" t="s">
        <v>37</v>
      </c>
      <c r="B406" s="16" t="s">
        <v>265</v>
      </c>
      <c r="C406" s="16" t="s">
        <v>266</v>
      </c>
      <c r="D406" s="16" t="s">
        <v>100</v>
      </c>
      <c r="E406" s="16" t="s">
        <v>101</v>
      </c>
      <c r="F406" s="16" t="s">
        <v>178</v>
      </c>
      <c r="G406" s="16" t="s">
        <v>179</v>
      </c>
      <c r="H406" s="16" t="s">
        <v>85</v>
      </c>
      <c r="I406" s="16" t="s">
        <v>40</v>
      </c>
      <c r="J406" s="16" t="s">
        <v>38</v>
      </c>
      <c r="K406" s="16" t="s">
        <v>293</v>
      </c>
      <c r="L406" s="15">
        <v>-617567.90083874192</v>
      </c>
      <c r="M406" s="15">
        <v>-13291.52027541761</v>
      </c>
      <c r="N406" s="15">
        <v>-572273.01751935342</v>
      </c>
      <c r="O406" s="15">
        <v>-45294.883319388638</v>
      </c>
      <c r="P406" s="15">
        <v>-45294.883319388638</v>
      </c>
      <c r="Q406" s="15">
        <f t="shared" si="26"/>
        <v>-45294.883319388638</v>
      </c>
      <c r="R406" s="15">
        <v>0</v>
      </c>
      <c r="S406" s="15">
        <f t="shared" si="27"/>
        <v>-45294.883319388638</v>
      </c>
      <c r="T406" s="16"/>
      <c r="U406" s="16"/>
    </row>
    <row r="407" spans="1:21" hidden="1" x14ac:dyDescent="0.25">
      <c r="A407" s="16" t="s">
        <v>37</v>
      </c>
      <c r="B407" s="16" t="s">
        <v>277</v>
      </c>
      <c r="C407" s="16" t="s">
        <v>278</v>
      </c>
      <c r="D407" s="16" t="s">
        <v>100</v>
      </c>
      <c r="E407" s="16" t="s">
        <v>101</v>
      </c>
      <c r="F407" s="16" t="s">
        <v>178</v>
      </c>
      <c r="G407" s="16" t="s">
        <v>179</v>
      </c>
      <c r="H407" s="16" t="s">
        <v>85</v>
      </c>
      <c r="I407" s="16" t="s">
        <v>40</v>
      </c>
      <c r="J407" s="16" t="s">
        <v>38</v>
      </c>
      <c r="K407" s="16" t="s">
        <v>293</v>
      </c>
      <c r="L407" s="15">
        <v>-878352.55020000017</v>
      </c>
      <c r="M407" s="15">
        <v>-147728.54999999999</v>
      </c>
      <c r="N407" s="15">
        <v>-878352.54920000001</v>
      </c>
      <c r="O407" s="15">
        <v>-9.9999998928979039E-4</v>
      </c>
      <c r="P407" s="15">
        <v>-9.9999998928979039E-4</v>
      </c>
      <c r="Q407" s="15">
        <f t="shared" si="26"/>
        <v>-9.9999998928979039E-4</v>
      </c>
      <c r="R407" s="15">
        <v>0</v>
      </c>
      <c r="S407" s="15">
        <f t="shared" si="27"/>
        <v>-9.9999998928979039E-4</v>
      </c>
      <c r="T407" s="16"/>
      <c r="U407" s="16"/>
    </row>
    <row r="408" spans="1:21" hidden="1" x14ac:dyDescent="0.25">
      <c r="A408" s="16" t="s">
        <v>37</v>
      </c>
      <c r="B408" s="16" t="s">
        <v>261</v>
      </c>
      <c r="C408" s="16" t="s">
        <v>262</v>
      </c>
      <c r="D408" s="16" t="s">
        <v>100</v>
      </c>
      <c r="E408" s="16" t="s">
        <v>101</v>
      </c>
      <c r="F408" s="16" t="s">
        <v>178</v>
      </c>
      <c r="G408" s="16" t="s">
        <v>179</v>
      </c>
      <c r="H408" s="16" t="s">
        <v>85</v>
      </c>
      <c r="I408" s="16" t="s">
        <v>40</v>
      </c>
      <c r="J408" s="16" t="s">
        <v>38</v>
      </c>
      <c r="K408" s="16" t="s">
        <v>293</v>
      </c>
      <c r="L408" s="15">
        <v>-868961.53581067524</v>
      </c>
      <c r="M408" s="15">
        <v>-9576.56</v>
      </c>
      <c r="N408" s="15">
        <v>-744341.56553824153</v>
      </c>
      <c r="O408" s="15">
        <v>-124619.97027243386</v>
      </c>
      <c r="P408" s="15">
        <v>-124619.97027243386</v>
      </c>
      <c r="Q408" s="15">
        <f t="shared" si="26"/>
        <v>-124619.97027243386</v>
      </c>
      <c r="R408" s="15">
        <v>0</v>
      </c>
      <c r="S408" s="15">
        <f t="shared" si="27"/>
        <v>-124619.97027243386</v>
      </c>
      <c r="T408" s="16"/>
      <c r="U408" s="16"/>
    </row>
    <row r="409" spans="1:21" hidden="1" x14ac:dyDescent="0.25">
      <c r="A409" s="16" t="s">
        <v>37</v>
      </c>
      <c r="B409" s="16" t="s">
        <v>257</v>
      </c>
      <c r="C409" s="16" t="s">
        <v>258</v>
      </c>
      <c r="D409" s="16" t="s">
        <v>100</v>
      </c>
      <c r="E409" s="16" t="s">
        <v>101</v>
      </c>
      <c r="F409" s="16" t="s">
        <v>178</v>
      </c>
      <c r="G409" s="16" t="s">
        <v>179</v>
      </c>
      <c r="H409" s="16" t="s">
        <v>85</v>
      </c>
      <c r="I409" s="16" t="s">
        <v>40</v>
      </c>
      <c r="J409" s="16" t="s">
        <v>38</v>
      </c>
      <c r="K409" s="16" t="s">
        <v>293</v>
      </c>
      <c r="L409" s="15">
        <v>-5085626.7946789786</v>
      </c>
      <c r="M409" s="15">
        <v>-402811.03836636822</v>
      </c>
      <c r="N409" s="15">
        <v>-3031608.8322435846</v>
      </c>
      <c r="O409" s="15">
        <v>-2054017.9624353938</v>
      </c>
      <c r="P409" s="15">
        <v>-2054017.9624353938</v>
      </c>
      <c r="Q409" s="15">
        <f>P409-R409+P405</f>
        <v>-2082875.6688014711</v>
      </c>
      <c r="R409" s="15">
        <v>0</v>
      </c>
      <c r="S409" s="15">
        <f t="shared" si="27"/>
        <v>-2082875.6688014711</v>
      </c>
      <c r="T409" s="16"/>
      <c r="U409" s="26"/>
    </row>
    <row r="410" spans="1:21" hidden="1" x14ac:dyDescent="0.25">
      <c r="A410" s="16" t="s">
        <v>37</v>
      </c>
      <c r="B410" s="16" t="s">
        <v>257</v>
      </c>
      <c r="C410" s="16" t="s">
        <v>258</v>
      </c>
      <c r="D410" s="16" t="s">
        <v>100</v>
      </c>
      <c r="E410" s="16" t="s">
        <v>101</v>
      </c>
      <c r="F410" s="16" t="s">
        <v>178</v>
      </c>
      <c r="G410" s="16" t="s">
        <v>179</v>
      </c>
      <c r="H410" s="16" t="s">
        <v>85</v>
      </c>
      <c r="I410" s="16" t="s">
        <v>40</v>
      </c>
      <c r="J410" s="16" t="s">
        <v>300</v>
      </c>
      <c r="K410" s="16" t="s">
        <v>301</v>
      </c>
      <c r="L410" s="15">
        <v>-1610.1694915254241</v>
      </c>
      <c r="M410" s="15">
        <v>0</v>
      </c>
      <c r="N410" s="15">
        <v>-1610</v>
      </c>
      <c r="O410" s="15">
        <v>-0.16949152542400725</v>
      </c>
      <c r="P410" s="15">
        <v>-0.16949152542400725</v>
      </c>
      <c r="Q410" s="15">
        <f t="shared" si="26"/>
        <v>-0.16949152542400725</v>
      </c>
      <c r="R410" s="15">
        <v>0</v>
      </c>
      <c r="S410" s="15">
        <f t="shared" si="27"/>
        <v>-0.16949152542400725</v>
      </c>
      <c r="T410" s="16"/>
      <c r="U410" s="26"/>
    </row>
    <row r="411" spans="1:21" hidden="1" x14ac:dyDescent="0.25">
      <c r="A411" s="16" t="s">
        <v>37</v>
      </c>
      <c r="B411" s="16" t="s">
        <v>257</v>
      </c>
      <c r="C411" s="16" t="s">
        <v>258</v>
      </c>
      <c r="D411" s="16" t="s">
        <v>100</v>
      </c>
      <c r="E411" s="16" t="s">
        <v>101</v>
      </c>
      <c r="F411" s="16" t="s">
        <v>178</v>
      </c>
      <c r="G411" s="16" t="s">
        <v>179</v>
      </c>
      <c r="H411" s="16" t="s">
        <v>85</v>
      </c>
      <c r="I411" s="16" t="s">
        <v>40</v>
      </c>
      <c r="J411" s="16" t="s">
        <v>142</v>
      </c>
      <c r="K411" s="16" t="s">
        <v>143</v>
      </c>
      <c r="L411" s="15">
        <v>-22574.776000000002</v>
      </c>
      <c r="M411" s="15">
        <v>0</v>
      </c>
      <c r="N411" s="15">
        <v>0</v>
      </c>
      <c r="O411" s="15">
        <v>-22574.776000000002</v>
      </c>
      <c r="P411" s="15">
        <v>-22574.776000000002</v>
      </c>
      <c r="Q411" s="15">
        <f t="shared" si="26"/>
        <v>-22574.776000000002</v>
      </c>
      <c r="R411" s="15">
        <v>0</v>
      </c>
      <c r="S411" s="15">
        <f t="shared" si="27"/>
        <v>-22574.776000000002</v>
      </c>
      <c r="T411" s="16"/>
      <c r="U411" s="26"/>
    </row>
    <row r="412" spans="1:21" x14ac:dyDescent="0.25">
      <c r="A412" s="16" t="s">
        <v>37</v>
      </c>
      <c r="B412" s="16" t="s">
        <v>269</v>
      </c>
      <c r="C412" s="16" t="s">
        <v>270</v>
      </c>
      <c r="D412" s="16" t="s">
        <v>100</v>
      </c>
      <c r="E412" s="16" t="s">
        <v>101</v>
      </c>
      <c r="F412" s="16" t="s">
        <v>178</v>
      </c>
      <c r="G412" s="16" t="s">
        <v>179</v>
      </c>
      <c r="H412" s="16" t="s">
        <v>85</v>
      </c>
      <c r="I412" s="16" t="s">
        <v>40</v>
      </c>
      <c r="J412" s="16" t="s">
        <v>130</v>
      </c>
      <c r="K412" s="16" t="s">
        <v>131</v>
      </c>
      <c r="L412" s="15">
        <v>-8977.2300000309951</v>
      </c>
      <c r="M412" s="15">
        <v>-8977.2300000309951</v>
      </c>
      <c r="N412" s="15">
        <v>0</v>
      </c>
      <c r="O412" s="15">
        <v>-8977.2300000309951</v>
      </c>
      <c r="P412" s="15">
        <v>-8977.2300000309951</v>
      </c>
      <c r="Q412" s="15">
        <f t="shared" si="26"/>
        <v>-8977.2300000309951</v>
      </c>
      <c r="R412" s="15">
        <v>0</v>
      </c>
      <c r="S412" s="15">
        <f t="shared" si="27"/>
        <v>-8977.2300000309951</v>
      </c>
      <c r="T412" s="16"/>
      <c r="U412" s="16"/>
    </row>
    <row r="413" spans="1:21" hidden="1" x14ac:dyDescent="0.25">
      <c r="A413" s="16" t="s">
        <v>37</v>
      </c>
      <c r="B413" s="16" t="s">
        <v>257</v>
      </c>
      <c r="C413" s="16" t="s">
        <v>258</v>
      </c>
      <c r="D413" s="16" t="s">
        <v>100</v>
      </c>
      <c r="E413" s="16" t="s">
        <v>101</v>
      </c>
      <c r="F413" s="16" t="s">
        <v>178</v>
      </c>
      <c r="G413" s="16" t="s">
        <v>179</v>
      </c>
      <c r="H413" s="16" t="s">
        <v>85</v>
      </c>
      <c r="I413" s="16" t="s">
        <v>40</v>
      </c>
      <c r="J413" s="16" t="s">
        <v>296</v>
      </c>
      <c r="K413" s="16" t="s">
        <v>297</v>
      </c>
      <c r="L413" s="15">
        <v>-1060.989999358</v>
      </c>
      <c r="M413" s="15">
        <v>0</v>
      </c>
      <c r="N413" s="15">
        <v>-560.3043439999999</v>
      </c>
      <c r="O413" s="15">
        <v>-500.68565535800008</v>
      </c>
      <c r="P413" s="15">
        <v>-500.68565535800008</v>
      </c>
      <c r="Q413" s="15">
        <f t="shared" si="26"/>
        <v>-500.68565535800008</v>
      </c>
      <c r="R413" s="15">
        <v>0</v>
      </c>
      <c r="S413" s="15">
        <f t="shared" si="27"/>
        <v>-500.68565535800008</v>
      </c>
      <c r="T413" s="16"/>
      <c r="U413" s="26"/>
    </row>
    <row r="414" spans="1:21" x14ac:dyDescent="0.25">
      <c r="A414" s="16" t="s">
        <v>37</v>
      </c>
      <c r="B414" s="16" t="s">
        <v>269</v>
      </c>
      <c r="C414" s="16" t="s">
        <v>270</v>
      </c>
      <c r="D414" s="16" t="s">
        <v>100</v>
      </c>
      <c r="E414" s="16" t="s">
        <v>101</v>
      </c>
      <c r="F414" s="16" t="s">
        <v>178</v>
      </c>
      <c r="G414" s="16" t="s">
        <v>179</v>
      </c>
      <c r="H414" s="16" t="s">
        <v>85</v>
      </c>
      <c r="I414" s="16" t="s">
        <v>40</v>
      </c>
      <c r="J414" s="16" t="s">
        <v>124</v>
      </c>
      <c r="K414" s="16" t="s">
        <v>125</v>
      </c>
      <c r="L414" s="15">
        <v>-993.19764274153135</v>
      </c>
      <c r="M414" s="15">
        <v>0</v>
      </c>
      <c r="N414" s="15">
        <v>-786.56999999999948</v>
      </c>
      <c r="O414" s="15">
        <v>-206.62764274153199</v>
      </c>
      <c r="P414" s="15">
        <v>0</v>
      </c>
      <c r="Q414" s="15">
        <f t="shared" si="26"/>
        <v>0</v>
      </c>
      <c r="R414" s="15">
        <v>0</v>
      </c>
      <c r="S414" s="15">
        <f t="shared" si="27"/>
        <v>0</v>
      </c>
      <c r="T414" s="16"/>
      <c r="U414" s="16"/>
    </row>
    <row r="415" spans="1:21" hidden="1" x14ac:dyDescent="0.25">
      <c r="A415" s="16" t="s">
        <v>37</v>
      </c>
      <c r="B415" s="16" t="s">
        <v>265</v>
      </c>
      <c r="C415" s="16" t="s">
        <v>266</v>
      </c>
      <c r="D415" s="16" t="s">
        <v>100</v>
      </c>
      <c r="E415" s="16" t="s">
        <v>101</v>
      </c>
      <c r="F415" s="16" t="s">
        <v>178</v>
      </c>
      <c r="G415" s="16" t="s">
        <v>179</v>
      </c>
      <c r="H415" s="16" t="s">
        <v>85</v>
      </c>
      <c r="I415" s="16" t="s">
        <v>40</v>
      </c>
      <c r="J415" s="16" t="s">
        <v>124</v>
      </c>
      <c r="K415" s="16" t="s">
        <v>125</v>
      </c>
      <c r="L415" s="15">
        <v>-145496.28179522578</v>
      </c>
      <c r="M415" s="15">
        <v>0</v>
      </c>
      <c r="N415" s="15">
        <v>-144387.51979604573</v>
      </c>
      <c r="O415" s="15">
        <v>-1108.7619991800748</v>
      </c>
      <c r="P415" s="15">
        <v>0</v>
      </c>
      <c r="Q415" s="15">
        <f t="shared" si="26"/>
        <v>0</v>
      </c>
      <c r="R415" s="15">
        <v>0</v>
      </c>
      <c r="S415" s="15">
        <f t="shared" si="27"/>
        <v>0</v>
      </c>
      <c r="T415" s="16"/>
      <c r="U415" s="16"/>
    </row>
    <row r="416" spans="1:21" hidden="1" x14ac:dyDescent="0.25">
      <c r="A416" s="16" t="s">
        <v>37</v>
      </c>
      <c r="B416" s="16" t="s">
        <v>277</v>
      </c>
      <c r="C416" s="16" t="s">
        <v>278</v>
      </c>
      <c r="D416" s="16" t="s">
        <v>100</v>
      </c>
      <c r="E416" s="16" t="s">
        <v>101</v>
      </c>
      <c r="F416" s="16" t="s">
        <v>178</v>
      </c>
      <c r="G416" s="16" t="s">
        <v>179</v>
      </c>
      <c r="H416" s="16" t="s">
        <v>85</v>
      </c>
      <c r="I416" s="16" t="s">
        <v>40</v>
      </c>
      <c r="J416" s="16" t="s">
        <v>124</v>
      </c>
      <c r="K416" s="16" t="s">
        <v>125</v>
      </c>
      <c r="L416" s="15">
        <v>-196240</v>
      </c>
      <c r="M416" s="15">
        <v>0</v>
      </c>
      <c r="N416" s="15">
        <v>-154794.64000000001</v>
      </c>
      <c r="O416" s="15">
        <v>-41445.36000000003</v>
      </c>
      <c r="P416" s="15">
        <v>0</v>
      </c>
      <c r="Q416" s="15">
        <f t="shared" si="26"/>
        <v>0</v>
      </c>
      <c r="R416" s="15">
        <v>0</v>
      </c>
      <c r="S416" s="15">
        <f t="shared" si="27"/>
        <v>0</v>
      </c>
      <c r="T416" s="16"/>
      <c r="U416" s="16"/>
    </row>
    <row r="417" spans="1:21" hidden="1" x14ac:dyDescent="0.25">
      <c r="A417" s="16" t="s">
        <v>37</v>
      </c>
      <c r="B417" s="16" t="s">
        <v>261</v>
      </c>
      <c r="C417" s="16" t="s">
        <v>262</v>
      </c>
      <c r="D417" s="16" t="s">
        <v>100</v>
      </c>
      <c r="E417" s="16" t="s">
        <v>101</v>
      </c>
      <c r="F417" s="16" t="s">
        <v>178</v>
      </c>
      <c r="G417" s="16" t="s">
        <v>179</v>
      </c>
      <c r="H417" s="16" t="s">
        <v>85</v>
      </c>
      <c r="I417" s="16" t="s">
        <v>40</v>
      </c>
      <c r="J417" s="16" t="s">
        <v>124</v>
      </c>
      <c r="K417" s="16" t="s">
        <v>125</v>
      </c>
      <c r="L417" s="15">
        <v>-50257.803028530005</v>
      </c>
      <c r="M417" s="15">
        <v>0</v>
      </c>
      <c r="N417" s="15">
        <v>-47060.817079905602</v>
      </c>
      <c r="O417" s="15">
        <v>-3196.9859486243968</v>
      </c>
      <c r="P417" s="15">
        <v>0</v>
      </c>
      <c r="Q417" s="15">
        <f t="shared" si="26"/>
        <v>0</v>
      </c>
      <c r="R417" s="15">
        <v>0</v>
      </c>
      <c r="S417" s="15">
        <f t="shared" si="27"/>
        <v>0</v>
      </c>
      <c r="T417" s="16"/>
      <c r="U417" s="16"/>
    </row>
    <row r="418" spans="1:21" hidden="1" x14ac:dyDescent="0.25">
      <c r="A418" s="16" t="s">
        <v>37</v>
      </c>
      <c r="B418" s="16" t="s">
        <v>257</v>
      </c>
      <c r="C418" s="16" t="s">
        <v>258</v>
      </c>
      <c r="D418" s="16" t="s">
        <v>100</v>
      </c>
      <c r="E418" s="16" t="s">
        <v>101</v>
      </c>
      <c r="F418" s="16" t="s">
        <v>178</v>
      </c>
      <c r="G418" s="16" t="s">
        <v>179</v>
      </c>
      <c r="H418" s="16" t="s">
        <v>85</v>
      </c>
      <c r="I418" s="16" t="s">
        <v>40</v>
      </c>
      <c r="J418" s="16" t="s">
        <v>124</v>
      </c>
      <c r="K418" s="16" t="s">
        <v>125</v>
      </c>
      <c r="L418" s="15">
        <v>-99.70259999999999</v>
      </c>
      <c r="M418" s="15">
        <v>0</v>
      </c>
      <c r="N418" s="15">
        <v>-75.437747999999999</v>
      </c>
      <c r="O418" s="15">
        <v>-24.264851999999991</v>
      </c>
      <c r="P418" s="15">
        <v>0</v>
      </c>
      <c r="Q418" s="15">
        <f t="shared" si="26"/>
        <v>0</v>
      </c>
      <c r="R418" s="15">
        <v>0</v>
      </c>
      <c r="S418" s="15">
        <f t="shared" si="27"/>
        <v>0</v>
      </c>
      <c r="T418" s="16"/>
      <c r="U418" s="26"/>
    </row>
    <row r="419" spans="1:21" hidden="1" x14ac:dyDescent="0.25">
      <c r="A419" s="16" t="s">
        <v>37</v>
      </c>
      <c r="B419" s="16" t="s">
        <v>257</v>
      </c>
      <c r="C419" s="16" t="s">
        <v>258</v>
      </c>
      <c r="D419" s="16" t="s">
        <v>100</v>
      </c>
      <c r="E419" s="16" t="s">
        <v>101</v>
      </c>
      <c r="F419" s="16" t="s">
        <v>178</v>
      </c>
      <c r="G419" s="16" t="s">
        <v>179</v>
      </c>
      <c r="H419" s="16" t="s">
        <v>85</v>
      </c>
      <c r="I419" s="16" t="s">
        <v>40</v>
      </c>
      <c r="J419" s="16" t="s">
        <v>298</v>
      </c>
      <c r="K419" s="16" t="s">
        <v>299</v>
      </c>
      <c r="L419" s="15">
        <v>-2910.1569307800005</v>
      </c>
      <c r="M419" s="15">
        <v>-119.05663800000001</v>
      </c>
      <c r="N419" s="15">
        <v>-1850.7958025768003</v>
      </c>
      <c r="O419" s="15">
        <v>-1059.3611282032011</v>
      </c>
      <c r="P419" s="15">
        <v>-1059.3611282032011</v>
      </c>
      <c r="Q419" s="15">
        <f t="shared" si="26"/>
        <v>-1059.3611282032011</v>
      </c>
      <c r="R419" s="15">
        <v>0</v>
      </c>
      <c r="S419" s="15">
        <f t="shared" si="27"/>
        <v>-1059.3611282032011</v>
      </c>
      <c r="T419" s="16"/>
      <c r="U419" s="26"/>
    </row>
    <row r="420" spans="1:21" x14ac:dyDescent="0.25">
      <c r="A420" s="16" t="s">
        <v>37</v>
      </c>
      <c r="B420" s="16" t="s">
        <v>269</v>
      </c>
      <c r="C420" s="16" t="s">
        <v>270</v>
      </c>
      <c r="D420" s="16" t="s">
        <v>100</v>
      </c>
      <c r="E420" s="16" t="s">
        <v>101</v>
      </c>
      <c r="F420" s="16" t="s">
        <v>178</v>
      </c>
      <c r="G420" s="16" t="s">
        <v>179</v>
      </c>
      <c r="H420" s="16" t="s">
        <v>85</v>
      </c>
      <c r="I420" s="16" t="s">
        <v>40</v>
      </c>
      <c r="J420" s="16" t="s">
        <v>132</v>
      </c>
      <c r="K420" s="16" t="s">
        <v>133</v>
      </c>
      <c r="L420" s="15">
        <v>-34394.586355428575</v>
      </c>
      <c r="M420" s="15">
        <v>-34394.586355428575</v>
      </c>
      <c r="N420" s="15">
        <v>-34394.579993727326</v>
      </c>
      <c r="O420" s="15">
        <v>-6.3617012474423973E-3</v>
      </c>
      <c r="P420" s="15">
        <v>0</v>
      </c>
      <c r="Q420" s="15">
        <f t="shared" si="26"/>
        <v>0</v>
      </c>
      <c r="R420" s="15">
        <v>0</v>
      </c>
      <c r="S420" s="15">
        <f t="shared" si="27"/>
        <v>0</v>
      </c>
      <c r="T420" s="16"/>
      <c r="U420" s="16"/>
    </row>
    <row r="421" spans="1:21" hidden="1" x14ac:dyDescent="0.25">
      <c r="A421" s="16" t="s">
        <v>37</v>
      </c>
      <c r="B421" s="16" t="s">
        <v>257</v>
      </c>
      <c r="C421" s="16" t="s">
        <v>258</v>
      </c>
      <c r="D421" s="16" t="s">
        <v>100</v>
      </c>
      <c r="E421" s="16" t="s">
        <v>101</v>
      </c>
      <c r="F421" s="16" t="s">
        <v>178</v>
      </c>
      <c r="G421" s="16" t="s">
        <v>179</v>
      </c>
      <c r="H421" s="16" t="s">
        <v>85</v>
      </c>
      <c r="I421" s="16" t="s">
        <v>40</v>
      </c>
      <c r="J421" s="16" t="s">
        <v>302</v>
      </c>
      <c r="K421" s="16" t="s">
        <v>303</v>
      </c>
      <c r="L421" s="15">
        <v>-3389.8305042372876</v>
      </c>
      <c r="M421" s="15">
        <v>0</v>
      </c>
      <c r="N421" s="15">
        <v>-1610.0000000000002</v>
      </c>
      <c r="O421" s="15">
        <v>-1779.8305042372876</v>
      </c>
      <c r="P421" s="15">
        <v>-1779.8305042372876</v>
      </c>
      <c r="Q421" s="15">
        <v>0</v>
      </c>
      <c r="R421" s="15">
        <v>0</v>
      </c>
      <c r="S421" s="15">
        <f t="shared" si="27"/>
        <v>0</v>
      </c>
      <c r="T421" s="16"/>
      <c r="U421" s="26"/>
    </row>
    <row r="422" spans="1:21" x14ac:dyDescent="0.25">
      <c r="A422" s="16" t="s">
        <v>37</v>
      </c>
      <c r="B422" s="16" t="s">
        <v>269</v>
      </c>
      <c r="C422" s="16" t="s">
        <v>270</v>
      </c>
      <c r="D422" s="16" t="s">
        <v>100</v>
      </c>
      <c r="E422" s="16" t="s">
        <v>101</v>
      </c>
      <c r="F422" s="16" t="s">
        <v>178</v>
      </c>
      <c r="G422" s="16" t="s">
        <v>179</v>
      </c>
      <c r="H422" s="16" t="s">
        <v>85</v>
      </c>
      <c r="I422" s="16" t="s">
        <v>40</v>
      </c>
      <c r="J422" s="16" t="s">
        <v>64</v>
      </c>
      <c r="K422" s="16" t="s">
        <v>65</v>
      </c>
      <c r="L422" s="15">
        <v>-110422.1152965644</v>
      </c>
      <c r="M422" s="15">
        <v>0</v>
      </c>
      <c r="N422" s="15">
        <v>-105922.11983215594</v>
      </c>
      <c r="O422" s="15">
        <v>-4499.9954644084819</v>
      </c>
      <c r="P422" s="15">
        <v>-4499.9954644084819</v>
      </c>
      <c r="Q422" s="15">
        <f t="shared" si="26"/>
        <v>-4499.9954644084819</v>
      </c>
      <c r="R422" s="15">
        <v>0</v>
      </c>
      <c r="S422" s="15">
        <f t="shared" si="27"/>
        <v>-4499.9954644084819</v>
      </c>
      <c r="T422" s="16"/>
      <c r="U422" s="16"/>
    </row>
    <row r="423" spans="1:21" x14ac:dyDescent="0.25">
      <c r="A423" s="16" t="s">
        <v>37</v>
      </c>
      <c r="B423" s="16" t="s">
        <v>269</v>
      </c>
      <c r="C423" s="16" t="s">
        <v>270</v>
      </c>
      <c r="D423" s="16" t="s">
        <v>100</v>
      </c>
      <c r="E423" s="16" t="s">
        <v>101</v>
      </c>
      <c r="F423" s="16" t="s">
        <v>178</v>
      </c>
      <c r="G423" s="16" t="s">
        <v>179</v>
      </c>
      <c r="H423" s="16" t="s">
        <v>85</v>
      </c>
      <c r="I423" s="16" t="s">
        <v>40</v>
      </c>
      <c r="J423" s="16" t="s">
        <v>66</v>
      </c>
      <c r="K423" s="16" t="s">
        <v>63</v>
      </c>
      <c r="L423" s="15">
        <v>-118635.98061687261</v>
      </c>
      <c r="M423" s="15">
        <v>-118635.98061687261</v>
      </c>
      <c r="N423" s="15">
        <v>-118635.98989940737</v>
      </c>
      <c r="O423" s="15">
        <v>9.2825347774123657E-3</v>
      </c>
      <c r="P423" s="15">
        <v>0</v>
      </c>
      <c r="Q423" s="15">
        <f t="shared" si="26"/>
        <v>0</v>
      </c>
      <c r="R423" s="15">
        <v>0</v>
      </c>
      <c r="S423" s="15">
        <f t="shared" si="27"/>
        <v>0</v>
      </c>
      <c r="T423" s="16"/>
      <c r="U423" s="16"/>
    </row>
    <row r="424" spans="1:21" x14ac:dyDescent="0.25">
      <c r="A424" s="16" t="s">
        <v>37</v>
      </c>
      <c r="B424" s="16" t="s">
        <v>269</v>
      </c>
      <c r="C424" s="16" t="s">
        <v>270</v>
      </c>
      <c r="D424" s="16" t="s">
        <v>100</v>
      </c>
      <c r="E424" s="16" t="s">
        <v>101</v>
      </c>
      <c r="F424" s="16" t="s">
        <v>178</v>
      </c>
      <c r="G424" s="16" t="s">
        <v>179</v>
      </c>
      <c r="H424" s="16" t="s">
        <v>85</v>
      </c>
      <c r="I424" s="16" t="s">
        <v>40</v>
      </c>
      <c r="J424" s="16" t="s">
        <v>67</v>
      </c>
      <c r="K424" s="16" t="s">
        <v>68</v>
      </c>
      <c r="L424" s="15">
        <v>-23220</v>
      </c>
      <c r="M424" s="15">
        <v>0</v>
      </c>
      <c r="N424" s="15">
        <v>0</v>
      </c>
      <c r="O424" s="15">
        <v>-23220</v>
      </c>
      <c r="P424" s="15">
        <v>-23220</v>
      </c>
      <c r="Q424" s="15">
        <f t="shared" si="26"/>
        <v>-23220</v>
      </c>
      <c r="R424" s="15">
        <v>0</v>
      </c>
      <c r="S424" s="15">
        <f t="shared" si="27"/>
        <v>-23220</v>
      </c>
      <c r="T424" s="16"/>
      <c r="U424" s="16"/>
    </row>
    <row r="425" spans="1:21" hidden="1" x14ac:dyDescent="0.25">
      <c r="A425" s="16" t="s">
        <v>37</v>
      </c>
      <c r="B425" s="16" t="s">
        <v>257</v>
      </c>
      <c r="C425" s="16" t="s">
        <v>258</v>
      </c>
      <c r="D425" s="16" t="s">
        <v>100</v>
      </c>
      <c r="E425" s="16" t="s">
        <v>101</v>
      </c>
      <c r="F425" s="16" t="s">
        <v>178</v>
      </c>
      <c r="G425" s="16" t="s">
        <v>179</v>
      </c>
      <c r="H425" s="16" t="s">
        <v>85</v>
      </c>
      <c r="I425" s="16" t="s">
        <v>40</v>
      </c>
      <c r="J425" s="16" t="s">
        <v>67</v>
      </c>
      <c r="K425" s="16" t="s">
        <v>68</v>
      </c>
      <c r="L425" s="15">
        <v>-1780</v>
      </c>
      <c r="M425" s="15">
        <v>0</v>
      </c>
      <c r="N425" s="15">
        <v>0</v>
      </c>
      <c r="O425" s="15">
        <v>-1780</v>
      </c>
      <c r="P425" s="15">
        <v>-1780</v>
      </c>
      <c r="Q425" s="15">
        <f t="shared" si="26"/>
        <v>-1780</v>
      </c>
      <c r="R425" s="15">
        <v>0</v>
      </c>
      <c r="S425" s="15">
        <f t="shared" si="27"/>
        <v>-1780</v>
      </c>
      <c r="T425" s="16"/>
      <c r="U425" s="26"/>
    </row>
    <row r="426" spans="1:21" x14ac:dyDescent="0.25">
      <c r="A426" s="16" t="s">
        <v>37</v>
      </c>
      <c r="B426" s="16" t="s">
        <v>269</v>
      </c>
      <c r="C426" s="16" t="s">
        <v>270</v>
      </c>
      <c r="D426" s="16" t="s">
        <v>100</v>
      </c>
      <c r="E426" s="16" t="s">
        <v>101</v>
      </c>
      <c r="F426" s="16" t="s">
        <v>178</v>
      </c>
      <c r="G426" s="16" t="s">
        <v>179</v>
      </c>
      <c r="H426" s="16" t="s">
        <v>85</v>
      </c>
      <c r="I426" s="16" t="s">
        <v>40</v>
      </c>
      <c r="J426" s="16" t="s">
        <v>69</v>
      </c>
      <c r="K426" s="16" t="s">
        <v>70</v>
      </c>
      <c r="L426" s="15">
        <v>-4231.8467089546812</v>
      </c>
      <c r="M426" s="15">
        <v>-4231.8467089546812</v>
      </c>
      <c r="N426" s="15">
        <v>-4231.8499924907192</v>
      </c>
      <c r="O426" s="15">
        <v>3.2835360375429445E-3</v>
      </c>
      <c r="P426" s="15">
        <v>0</v>
      </c>
      <c r="Q426" s="15">
        <f t="shared" si="26"/>
        <v>0</v>
      </c>
      <c r="R426" s="15">
        <v>0</v>
      </c>
      <c r="S426" s="15">
        <f t="shared" si="27"/>
        <v>0</v>
      </c>
      <c r="T426" s="16"/>
      <c r="U426" s="15">
        <f t="shared" ref="U426:U428" si="29">O426</f>
        <v>3.2835360375429445E-3</v>
      </c>
    </row>
    <row r="427" spans="1:21" hidden="1" x14ac:dyDescent="0.25">
      <c r="A427" s="16" t="s">
        <v>37</v>
      </c>
      <c r="B427" s="16" t="s">
        <v>261</v>
      </c>
      <c r="C427" s="16" t="s">
        <v>262</v>
      </c>
      <c r="D427" s="16" t="s">
        <v>100</v>
      </c>
      <c r="E427" s="16" t="s">
        <v>101</v>
      </c>
      <c r="F427" s="16" t="s">
        <v>178</v>
      </c>
      <c r="G427" s="16" t="s">
        <v>179</v>
      </c>
      <c r="H427" s="16" t="s">
        <v>85</v>
      </c>
      <c r="I427" s="16" t="s">
        <v>40</v>
      </c>
      <c r="J427" s="16" t="s">
        <v>69</v>
      </c>
      <c r="K427" s="16" t="s">
        <v>70</v>
      </c>
      <c r="L427" s="15">
        <v>-4429.2199990529998</v>
      </c>
      <c r="M427" s="15">
        <v>-4429.22</v>
      </c>
      <c r="N427" s="15">
        <v>-5509.6238000000003</v>
      </c>
      <c r="O427" s="15">
        <v>1080.403800947</v>
      </c>
      <c r="P427" s="15">
        <v>0</v>
      </c>
      <c r="Q427" s="15">
        <f t="shared" si="26"/>
        <v>0</v>
      </c>
      <c r="R427" s="15">
        <v>0</v>
      </c>
      <c r="S427" s="15">
        <f t="shared" si="27"/>
        <v>0</v>
      </c>
      <c r="T427" s="16"/>
      <c r="U427" s="15">
        <f t="shared" si="29"/>
        <v>1080.403800947</v>
      </c>
    </row>
    <row r="428" spans="1:21" hidden="1" x14ac:dyDescent="0.25">
      <c r="A428" s="16" t="s">
        <v>37</v>
      </c>
      <c r="B428" s="16" t="s">
        <v>257</v>
      </c>
      <c r="C428" s="16" t="s">
        <v>258</v>
      </c>
      <c r="D428" s="16" t="s">
        <v>100</v>
      </c>
      <c r="E428" s="16" t="s">
        <v>101</v>
      </c>
      <c r="F428" s="16" t="s">
        <v>178</v>
      </c>
      <c r="G428" s="16" t="s">
        <v>179</v>
      </c>
      <c r="H428" s="16" t="s">
        <v>85</v>
      </c>
      <c r="I428" s="16" t="s">
        <v>40</v>
      </c>
      <c r="J428" s="16" t="s">
        <v>69</v>
      </c>
      <c r="K428" s="16" t="s">
        <v>70</v>
      </c>
      <c r="L428" s="15">
        <v>-1185.1687260000001</v>
      </c>
      <c r="M428" s="15">
        <v>-1185.1687260000001</v>
      </c>
      <c r="N428" s="15">
        <v>-1170.1693042200002</v>
      </c>
      <c r="O428" s="15">
        <v>-14.999421779999807</v>
      </c>
      <c r="P428" s="15">
        <v>0</v>
      </c>
      <c r="Q428" s="15">
        <f t="shared" si="26"/>
        <v>0</v>
      </c>
      <c r="R428" s="15">
        <v>0</v>
      </c>
      <c r="S428" s="15">
        <f t="shared" si="27"/>
        <v>0</v>
      </c>
      <c r="T428" s="16"/>
      <c r="U428" s="15">
        <f t="shared" si="29"/>
        <v>-14.999421779999807</v>
      </c>
    </row>
    <row r="429" spans="1:21" hidden="1" x14ac:dyDescent="0.25">
      <c r="A429" s="16" t="s">
        <v>37</v>
      </c>
      <c r="B429" s="16" t="s">
        <v>257</v>
      </c>
      <c r="C429" s="16" t="s">
        <v>258</v>
      </c>
      <c r="D429" s="16" t="s">
        <v>100</v>
      </c>
      <c r="E429" s="16" t="s">
        <v>101</v>
      </c>
      <c r="F429" s="16" t="s">
        <v>178</v>
      </c>
      <c r="G429" s="16" t="s">
        <v>179</v>
      </c>
      <c r="H429" s="16" t="s">
        <v>85</v>
      </c>
      <c r="I429" s="16" t="s">
        <v>40</v>
      </c>
      <c r="J429" s="16" t="s">
        <v>136</v>
      </c>
      <c r="K429" s="16" t="s">
        <v>137</v>
      </c>
      <c r="L429" s="15">
        <v>-30212.600000000024</v>
      </c>
      <c r="M429" s="15">
        <v>0</v>
      </c>
      <c r="N429" s="15">
        <v>-30212.6</v>
      </c>
      <c r="O429" s="15">
        <v>-2.5465851649641991E-11</v>
      </c>
      <c r="P429" s="15">
        <v>-2.5465851649641991E-11</v>
      </c>
      <c r="Q429" s="15">
        <f t="shared" si="26"/>
        <v>-2.5465851649641991E-11</v>
      </c>
      <c r="R429" s="15">
        <v>0</v>
      </c>
      <c r="S429" s="15">
        <f t="shared" si="27"/>
        <v>-2.5465851649641991E-11</v>
      </c>
      <c r="T429" s="16"/>
      <c r="U429" s="26"/>
    </row>
    <row r="430" spans="1:21" hidden="1" x14ac:dyDescent="0.25">
      <c r="A430" s="16" t="s">
        <v>37</v>
      </c>
      <c r="B430" s="16" t="s">
        <v>265</v>
      </c>
      <c r="C430" s="16" t="s">
        <v>266</v>
      </c>
      <c r="D430" s="16" t="s">
        <v>100</v>
      </c>
      <c r="E430" s="16" t="s">
        <v>101</v>
      </c>
      <c r="F430" s="16" t="s">
        <v>178</v>
      </c>
      <c r="G430" s="16" t="s">
        <v>179</v>
      </c>
      <c r="H430" s="16" t="s">
        <v>85</v>
      </c>
      <c r="I430" s="16" t="s">
        <v>40</v>
      </c>
      <c r="J430" s="16" t="s">
        <v>138</v>
      </c>
      <c r="K430" s="16" t="s">
        <v>139</v>
      </c>
      <c r="L430" s="15">
        <v>-594.4288081647685</v>
      </c>
      <c r="M430" s="15">
        <v>0</v>
      </c>
      <c r="N430" s="15">
        <v>-594.4288081647685</v>
      </c>
      <c r="O430" s="15">
        <v>0</v>
      </c>
      <c r="P430" s="15">
        <v>0</v>
      </c>
      <c r="Q430" s="15">
        <f t="shared" si="26"/>
        <v>0</v>
      </c>
      <c r="R430" s="15">
        <v>0</v>
      </c>
      <c r="S430" s="15">
        <f t="shared" si="27"/>
        <v>0</v>
      </c>
      <c r="T430" s="16"/>
      <c r="U430" s="16"/>
    </row>
    <row r="431" spans="1:21" x14ac:dyDescent="0.25">
      <c r="A431" s="16" t="s">
        <v>37</v>
      </c>
      <c r="B431" s="16" t="s">
        <v>269</v>
      </c>
      <c r="C431" s="16" t="s">
        <v>270</v>
      </c>
      <c r="D431" s="16" t="s">
        <v>180</v>
      </c>
      <c r="E431" s="16" t="s">
        <v>181</v>
      </c>
      <c r="F431" s="16" t="s">
        <v>182</v>
      </c>
      <c r="G431" s="16" t="s">
        <v>183</v>
      </c>
      <c r="H431" s="16" t="s">
        <v>85</v>
      </c>
      <c r="I431" s="16" t="s">
        <v>40</v>
      </c>
      <c r="J431" s="16" t="s">
        <v>38</v>
      </c>
      <c r="K431" s="16" t="s">
        <v>293</v>
      </c>
      <c r="L431" s="15">
        <v>-409104.99226732529</v>
      </c>
      <c r="M431" s="15">
        <v>-5218.3515818474552</v>
      </c>
      <c r="N431" s="15">
        <v>-478403.36237605516</v>
      </c>
      <c r="O431" s="15">
        <v>69298.370108729927</v>
      </c>
      <c r="P431" s="15">
        <f>O431</f>
        <v>69298.370108729927</v>
      </c>
      <c r="Q431" s="15">
        <f>P431-R431-69298</f>
        <v>0.37010872992686927</v>
      </c>
      <c r="R431" s="15">
        <v>0</v>
      </c>
      <c r="S431" s="15">
        <f t="shared" si="27"/>
        <v>0.37010872992686927</v>
      </c>
      <c r="T431" s="16"/>
      <c r="U431" s="16"/>
    </row>
    <row r="432" spans="1:21" hidden="1" x14ac:dyDescent="0.25">
      <c r="A432" s="16" t="s">
        <v>37</v>
      </c>
      <c r="B432" s="16" t="s">
        <v>265</v>
      </c>
      <c r="C432" s="16" t="s">
        <v>266</v>
      </c>
      <c r="D432" s="16" t="s">
        <v>180</v>
      </c>
      <c r="E432" s="16" t="s">
        <v>181</v>
      </c>
      <c r="F432" s="16" t="s">
        <v>182</v>
      </c>
      <c r="G432" s="16" t="s">
        <v>183</v>
      </c>
      <c r="H432" s="16" t="s">
        <v>85</v>
      </c>
      <c r="I432" s="16" t="s">
        <v>40</v>
      </c>
      <c r="J432" s="16" t="s">
        <v>38</v>
      </c>
      <c r="K432" s="16" t="s">
        <v>293</v>
      </c>
      <c r="L432" s="15">
        <v>-2964676.2584849261</v>
      </c>
      <c r="M432" s="15">
        <v>-279774.115797284</v>
      </c>
      <c r="N432" s="15">
        <v>-2549806.2654938046</v>
      </c>
      <c r="O432" s="15">
        <v>-414869.99299112149</v>
      </c>
      <c r="P432" s="15">
        <v>-414869.99299112149</v>
      </c>
      <c r="Q432" s="15">
        <f t="shared" si="26"/>
        <v>-414869.99299112149</v>
      </c>
      <c r="R432" s="15">
        <v>0</v>
      </c>
      <c r="S432" s="15">
        <f t="shared" si="27"/>
        <v>-414869.99299112149</v>
      </c>
      <c r="T432" s="16"/>
      <c r="U432" s="16"/>
    </row>
    <row r="433" spans="1:21" hidden="1" x14ac:dyDescent="0.25">
      <c r="A433" s="16" t="s">
        <v>37</v>
      </c>
      <c r="B433" s="16" t="s">
        <v>257</v>
      </c>
      <c r="C433" s="16" t="s">
        <v>258</v>
      </c>
      <c r="D433" s="16" t="s">
        <v>180</v>
      </c>
      <c r="E433" s="16" t="s">
        <v>181</v>
      </c>
      <c r="F433" s="16" t="s">
        <v>182</v>
      </c>
      <c r="G433" s="16" t="s">
        <v>183</v>
      </c>
      <c r="H433" s="16" t="s">
        <v>85</v>
      </c>
      <c r="I433" s="16" t="s">
        <v>40</v>
      </c>
      <c r="J433" s="16" t="s">
        <v>38</v>
      </c>
      <c r="K433" s="16" t="s">
        <v>293</v>
      </c>
      <c r="L433" s="15">
        <v>-1612131.6021793485</v>
      </c>
      <c r="M433" s="15">
        <v>-502553.96040019568</v>
      </c>
      <c r="N433" s="15">
        <v>-1108164.77018416</v>
      </c>
      <c r="O433" s="15">
        <v>-503966.8319951882</v>
      </c>
      <c r="P433" s="15">
        <v>-503966.8319951882</v>
      </c>
      <c r="Q433" s="15">
        <f>P433-R433+P431</f>
        <v>-434668.46188645827</v>
      </c>
      <c r="R433" s="15">
        <v>0</v>
      </c>
      <c r="S433" s="15">
        <f t="shared" si="27"/>
        <v>-434668.46188645827</v>
      </c>
      <c r="T433" s="16"/>
      <c r="U433" s="26"/>
    </row>
    <row r="434" spans="1:21" hidden="1" x14ac:dyDescent="0.25">
      <c r="A434" s="16" t="s">
        <v>37</v>
      </c>
      <c r="B434" s="16" t="s">
        <v>257</v>
      </c>
      <c r="C434" s="16" t="s">
        <v>258</v>
      </c>
      <c r="D434" s="16" t="s">
        <v>180</v>
      </c>
      <c r="E434" s="16" t="s">
        <v>181</v>
      </c>
      <c r="F434" s="16" t="s">
        <v>182</v>
      </c>
      <c r="G434" s="16" t="s">
        <v>183</v>
      </c>
      <c r="H434" s="16" t="s">
        <v>85</v>
      </c>
      <c r="I434" s="16" t="s">
        <v>40</v>
      </c>
      <c r="J434" s="16" t="s">
        <v>142</v>
      </c>
      <c r="K434" s="16" t="s">
        <v>143</v>
      </c>
      <c r="L434" s="15">
        <v>-7361.34</v>
      </c>
      <c r="M434" s="15">
        <v>0</v>
      </c>
      <c r="N434" s="15">
        <v>0</v>
      </c>
      <c r="O434" s="15">
        <v>-7361.34</v>
      </c>
      <c r="P434" s="15">
        <v>-7361.34</v>
      </c>
      <c r="Q434" s="15">
        <f t="shared" si="26"/>
        <v>-7361.34</v>
      </c>
      <c r="R434" s="15">
        <v>0</v>
      </c>
      <c r="S434" s="15">
        <f t="shared" si="27"/>
        <v>-7361.34</v>
      </c>
      <c r="T434" s="16"/>
      <c r="U434" s="26"/>
    </row>
    <row r="435" spans="1:21" hidden="1" x14ac:dyDescent="0.25">
      <c r="A435" s="16" t="s">
        <v>37</v>
      </c>
      <c r="B435" s="16" t="s">
        <v>257</v>
      </c>
      <c r="C435" s="16" t="s">
        <v>258</v>
      </c>
      <c r="D435" s="16" t="s">
        <v>180</v>
      </c>
      <c r="E435" s="16" t="s">
        <v>181</v>
      </c>
      <c r="F435" s="16" t="s">
        <v>182</v>
      </c>
      <c r="G435" s="16" t="s">
        <v>183</v>
      </c>
      <c r="H435" s="16" t="s">
        <v>85</v>
      </c>
      <c r="I435" s="16" t="s">
        <v>40</v>
      </c>
      <c r="J435" s="16" t="s">
        <v>296</v>
      </c>
      <c r="K435" s="16" t="s">
        <v>297</v>
      </c>
      <c r="L435" s="15">
        <v>-66756.619997514601</v>
      </c>
      <c r="M435" s="15">
        <v>-379.29421589999993</v>
      </c>
      <c r="N435" s="15">
        <v>-66756.378471999982</v>
      </c>
      <c r="O435" s="15">
        <v>-0.2415255146115669</v>
      </c>
      <c r="P435" s="15">
        <v>-0.2415255146115669</v>
      </c>
      <c r="Q435" s="15">
        <f t="shared" si="26"/>
        <v>-0.2415255146115669</v>
      </c>
      <c r="R435" s="15">
        <v>0</v>
      </c>
      <c r="S435" s="15">
        <f t="shared" si="27"/>
        <v>-0.2415255146115669</v>
      </c>
      <c r="T435" s="16"/>
      <c r="U435" s="26"/>
    </row>
    <row r="436" spans="1:21" x14ac:dyDescent="0.25">
      <c r="A436" s="16" t="s">
        <v>37</v>
      </c>
      <c r="B436" s="16" t="s">
        <v>269</v>
      </c>
      <c r="C436" s="16" t="s">
        <v>270</v>
      </c>
      <c r="D436" s="16" t="s">
        <v>180</v>
      </c>
      <c r="E436" s="16" t="s">
        <v>181</v>
      </c>
      <c r="F436" s="16" t="s">
        <v>182</v>
      </c>
      <c r="G436" s="16" t="s">
        <v>183</v>
      </c>
      <c r="H436" s="16" t="s">
        <v>85</v>
      </c>
      <c r="I436" s="16" t="s">
        <v>40</v>
      </c>
      <c r="J436" s="16" t="s">
        <v>124</v>
      </c>
      <c r="K436" s="16" t="s">
        <v>125</v>
      </c>
      <c r="L436" s="15">
        <v>-1097.5590422558548</v>
      </c>
      <c r="M436" s="15">
        <v>0</v>
      </c>
      <c r="N436" s="15">
        <v>-777.61999999999932</v>
      </c>
      <c r="O436" s="15">
        <v>-319.93904225585516</v>
      </c>
      <c r="P436" s="15">
        <v>0</v>
      </c>
      <c r="Q436" s="15">
        <f t="shared" si="26"/>
        <v>0</v>
      </c>
      <c r="R436" s="15">
        <v>0</v>
      </c>
      <c r="S436" s="15">
        <f t="shared" si="27"/>
        <v>0</v>
      </c>
      <c r="T436" s="16"/>
      <c r="U436" s="16"/>
    </row>
    <row r="437" spans="1:21" hidden="1" x14ac:dyDescent="0.25">
      <c r="A437" s="16" t="s">
        <v>37</v>
      </c>
      <c r="B437" s="16" t="s">
        <v>265</v>
      </c>
      <c r="C437" s="16" t="s">
        <v>266</v>
      </c>
      <c r="D437" s="16" t="s">
        <v>180</v>
      </c>
      <c r="E437" s="16" t="s">
        <v>181</v>
      </c>
      <c r="F437" s="16" t="s">
        <v>182</v>
      </c>
      <c r="G437" s="16" t="s">
        <v>183</v>
      </c>
      <c r="H437" s="16" t="s">
        <v>85</v>
      </c>
      <c r="I437" s="16" t="s">
        <v>40</v>
      </c>
      <c r="J437" s="16" t="s">
        <v>124</v>
      </c>
      <c r="K437" s="16" t="s">
        <v>125</v>
      </c>
      <c r="L437" s="15">
        <v>-486286.47505055345</v>
      </c>
      <c r="M437" s="15">
        <v>0</v>
      </c>
      <c r="N437" s="15">
        <v>-420268.06213904358</v>
      </c>
      <c r="O437" s="15">
        <v>-66018.412911509848</v>
      </c>
      <c r="P437" s="15">
        <v>0</v>
      </c>
      <c r="Q437" s="15">
        <f t="shared" si="26"/>
        <v>0</v>
      </c>
      <c r="R437" s="15">
        <v>0</v>
      </c>
      <c r="S437" s="15">
        <f t="shared" si="27"/>
        <v>0</v>
      </c>
      <c r="T437" s="16"/>
      <c r="U437" s="16"/>
    </row>
    <row r="438" spans="1:21" hidden="1" x14ac:dyDescent="0.25">
      <c r="A438" s="16" t="s">
        <v>37</v>
      </c>
      <c r="B438" s="16" t="s">
        <v>257</v>
      </c>
      <c r="C438" s="16" t="s">
        <v>258</v>
      </c>
      <c r="D438" s="16" t="s">
        <v>180</v>
      </c>
      <c r="E438" s="16" t="s">
        <v>181</v>
      </c>
      <c r="F438" s="16" t="s">
        <v>182</v>
      </c>
      <c r="G438" s="16" t="s">
        <v>183</v>
      </c>
      <c r="H438" s="16" t="s">
        <v>85</v>
      </c>
      <c r="I438" s="16" t="s">
        <v>40</v>
      </c>
      <c r="J438" s="16" t="s">
        <v>124</v>
      </c>
      <c r="K438" s="16" t="s">
        <v>125</v>
      </c>
      <c r="L438" s="15">
        <v>-92.558799999999991</v>
      </c>
      <c r="M438" s="15">
        <v>0</v>
      </c>
      <c r="N438" s="15">
        <v>-33.955311999999999</v>
      </c>
      <c r="O438" s="15">
        <v>-58.603487999999977</v>
      </c>
      <c r="P438" s="15">
        <v>0</v>
      </c>
      <c r="Q438" s="15">
        <f t="shared" si="26"/>
        <v>0</v>
      </c>
      <c r="R438" s="15">
        <v>0</v>
      </c>
      <c r="S438" s="15">
        <f t="shared" si="27"/>
        <v>0</v>
      </c>
      <c r="T438" s="16"/>
      <c r="U438" s="26"/>
    </row>
    <row r="439" spans="1:21" hidden="1" x14ac:dyDescent="0.25">
      <c r="A439" s="16" t="s">
        <v>37</v>
      </c>
      <c r="B439" s="16" t="s">
        <v>257</v>
      </c>
      <c r="C439" s="16" t="s">
        <v>258</v>
      </c>
      <c r="D439" s="16" t="s">
        <v>180</v>
      </c>
      <c r="E439" s="16" t="s">
        <v>181</v>
      </c>
      <c r="F439" s="16" t="s">
        <v>182</v>
      </c>
      <c r="G439" s="16" t="s">
        <v>183</v>
      </c>
      <c r="H439" s="16" t="s">
        <v>85</v>
      </c>
      <c r="I439" s="16" t="s">
        <v>40</v>
      </c>
      <c r="J439" s="16" t="s">
        <v>298</v>
      </c>
      <c r="K439" s="16" t="s">
        <v>299</v>
      </c>
      <c r="L439" s="15">
        <v>-3268.2688810000013</v>
      </c>
      <c r="M439" s="15">
        <v>-261.28298100000012</v>
      </c>
      <c r="N439" s="15">
        <v>-2080.0486818017998</v>
      </c>
      <c r="O439" s="15">
        <v>-1188.220199198201</v>
      </c>
      <c r="P439" s="15">
        <v>-1188.220199198201</v>
      </c>
      <c r="Q439" s="15">
        <f t="shared" si="26"/>
        <v>-1188.220199198201</v>
      </c>
      <c r="R439" s="15">
        <v>0</v>
      </c>
      <c r="S439" s="15">
        <f t="shared" si="27"/>
        <v>-1188.220199198201</v>
      </c>
      <c r="T439" s="16"/>
      <c r="U439" s="26"/>
    </row>
    <row r="440" spans="1:21" x14ac:dyDescent="0.25">
      <c r="A440" s="16" t="s">
        <v>37</v>
      </c>
      <c r="B440" s="16" t="s">
        <v>269</v>
      </c>
      <c r="C440" s="16" t="s">
        <v>270</v>
      </c>
      <c r="D440" s="16" t="s">
        <v>180</v>
      </c>
      <c r="E440" s="16" t="s">
        <v>181</v>
      </c>
      <c r="F440" s="16" t="s">
        <v>182</v>
      </c>
      <c r="G440" s="16" t="s">
        <v>183</v>
      </c>
      <c r="H440" s="16" t="s">
        <v>85</v>
      </c>
      <c r="I440" s="16" t="s">
        <v>40</v>
      </c>
      <c r="J440" s="16" t="s">
        <v>132</v>
      </c>
      <c r="K440" s="16" t="s">
        <v>133</v>
      </c>
      <c r="L440" s="15">
        <v>-36835.881062103232</v>
      </c>
      <c r="M440" s="15">
        <v>-36835.881062103232</v>
      </c>
      <c r="N440" s="15">
        <v>-36835.909993282097</v>
      </c>
      <c r="O440" s="15">
        <v>2.8931178869243013E-2</v>
      </c>
      <c r="P440" s="15">
        <v>0</v>
      </c>
      <c r="Q440" s="15">
        <f t="shared" si="26"/>
        <v>0</v>
      </c>
      <c r="R440" s="15">
        <v>0</v>
      </c>
      <c r="S440" s="15">
        <f t="shared" si="27"/>
        <v>0</v>
      </c>
      <c r="T440" s="16"/>
      <c r="U440" s="16"/>
    </row>
    <row r="441" spans="1:21" x14ac:dyDescent="0.25">
      <c r="A441" s="16" t="s">
        <v>37</v>
      </c>
      <c r="B441" s="16" t="s">
        <v>269</v>
      </c>
      <c r="C441" s="16" t="s">
        <v>270</v>
      </c>
      <c r="D441" s="16" t="s">
        <v>180</v>
      </c>
      <c r="E441" s="16" t="s">
        <v>181</v>
      </c>
      <c r="F441" s="16" t="s">
        <v>182</v>
      </c>
      <c r="G441" s="16" t="s">
        <v>183</v>
      </c>
      <c r="H441" s="16" t="s">
        <v>85</v>
      </c>
      <c r="I441" s="16" t="s">
        <v>40</v>
      </c>
      <c r="J441" s="16" t="s">
        <v>64</v>
      </c>
      <c r="K441" s="16" t="s">
        <v>65</v>
      </c>
      <c r="L441" s="15">
        <v>-41659.999780171369</v>
      </c>
      <c r="M441" s="15">
        <v>0</v>
      </c>
      <c r="N441" s="15">
        <v>-36578.659942037499</v>
      </c>
      <c r="O441" s="15">
        <v>-5081.3398381338739</v>
      </c>
      <c r="P441" s="15">
        <v>-5081.3398381338739</v>
      </c>
      <c r="Q441" s="15">
        <f t="shared" si="26"/>
        <v>-5081.3398381338739</v>
      </c>
      <c r="R441" s="15">
        <v>0</v>
      </c>
      <c r="S441" s="15">
        <f t="shared" si="27"/>
        <v>-5081.3398381338739</v>
      </c>
      <c r="T441" s="16"/>
      <c r="U441" s="16"/>
    </row>
    <row r="442" spans="1:21" x14ac:dyDescent="0.25">
      <c r="A442" s="16" t="s">
        <v>37</v>
      </c>
      <c r="B442" s="16" t="s">
        <v>269</v>
      </c>
      <c r="C442" s="16" t="s">
        <v>270</v>
      </c>
      <c r="D442" s="16" t="s">
        <v>180</v>
      </c>
      <c r="E442" s="16" t="s">
        <v>181</v>
      </c>
      <c r="F442" s="16" t="s">
        <v>182</v>
      </c>
      <c r="G442" s="16" t="s">
        <v>183</v>
      </c>
      <c r="H442" s="16" t="s">
        <v>85</v>
      </c>
      <c r="I442" s="16" t="s">
        <v>40</v>
      </c>
      <c r="J442" s="16" t="s">
        <v>66</v>
      </c>
      <c r="K442" s="16" t="s">
        <v>63</v>
      </c>
      <c r="L442" s="15">
        <v>-18473.652144104763</v>
      </c>
      <c r="M442" s="15">
        <v>-18473.652144104763</v>
      </c>
      <c r="N442" s="15">
        <v>-18473.629984336028</v>
      </c>
      <c r="O442" s="15">
        <v>-2.2159768735491525E-2</v>
      </c>
      <c r="P442" s="15">
        <v>0</v>
      </c>
      <c r="Q442" s="15">
        <f t="shared" si="26"/>
        <v>0</v>
      </c>
      <c r="R442" s="15">
        <v>0</v>
      </c>
      <c r="S442" s="15">
        <f t="shared" si="27"/>
        <v>0</v>
      </c>
      <c r="T442" s="16"/>
      <c r="U442" s="16"/>
    </row>
    <row r="443" spans="1:21" hidden="1" x14ac:dyDescent="0.25">
      <c r="A443" s="16" t="s">
        <v>37</v>
      </c>
      <c r="B443" s="16" t="s">
        <v>257</v>
      </c>
      <c r="C443" s="16" t="s">
        <v>258</v>
      </c>
      <c r="D443" s="16" t="s">
        <v>180</v>
      </c>
      <c r="E443" s="16" t="s">
        <v>181</v>
      </c>
      <c r="F443" s="16" t="s">
        <v>182</v>
      </c>
      <c r="G443" s="16" t="s">
        <v>183</v>
      </c>
      <c r="H443" s="16" t="s">
        <v>85</v>
      </c>
      <c r="I443" s="16" t="s">
        <v>40</v>
      </c>
      <c r="J443" s="16" t="s">
        <v>67</v>
      </c>
      <c r="K443" s="16" t="s">
        <v>68</v>
      </c>
      <c r="L443" s="15">
        <v>-2980</v>
      </c>
      <c r="M443" s="15">
        <v>0</v>
      </c>
      <c r="N443" s="15">
        <v>0</v>
      </c>
      <c r="O443" s="15">
        <v>-2980</v>
      </c>
      <c r="P443" s="15">
        <v>-2980</v>
      </c>
      <c r="Q443" s="15">
        <f t="shared" si="26"/>
        <v>-2980</v>
      </c>
      <c r="R443" s="15">
        <v>0</v>
      </c>
      <c r="S443" s="15">
        <f t="shared" si="27"/>
        <v>-2980</v>
      </c>
      <c r="T443" s="16"/>
      <c r="U443" s="26"/>
    </row>
    <row r="444" spans="1:21" x14ac:dyDescent="0.25">
      <c r="A444" s="16" t="s">
        <v>37</v>
      </c>
      <c r="B444" s="16" t="s">
        <v>269</v>
      </c>
      <c r="C444" s="16" t="s">
        <v>270</v>
      </c>
      <c r="D444" s="16" t="s">
        <v>184</v>
      </c>
      <c r="E444" s="16" t="s">
        <v>185</v>
      </c>
      <c r="F444" s="16" t="s">
        <v>186</v>
      </c>
      <c r="G444" s="16" t="s">
        <v>187</v>
      </c>
      <c r="H444" s="16" t="s">
        <v>85</v>
      </c>
      <c r="I444" s="16" t="s">
        <v>40</v>
      </c>
      <c r="J444" s="16" t="s">
        <v>38</v>
      </c>
      <c r="K444" s="16" t="s">
        <v>293</v>
      </c>
      <c r="L444" s="15">
        <v>-137631.64946781055</v>
      </c>
      <c r="M444" s="15">
        <v>0</v>
      </c>
      <c r="N444" s="15">
        <v>-107957.45102098834</v>
      </c>
      <c r="O444" s="15">
        <v>-29674.198446822236</v>
      </c>
      <c r="P444" s="15">
        <v>-29674.198446822236</v>
      </c>
      <c r="Q444" s="18">
        <f>P444-R444+P468+P471+37821</f>
        <v>-0.19844682223629206</v>
      </c>
      <c r="R444" s="15">
        <v>0</v>
      </c>
      <c r="S444" s="15">
        <f t="shared" si="27"/>
        <v>-0.19844682223629206</v>
      </c>
      <c r="T444" s="16"/>
      <c r="U444" s="16"/>
    </row>
    <row r="445" spans="1:21" hidden="1" x14ac:dyDescent="0.25">
      <c r="A445" s="16" t="s">
        <v>37</v>
      </c>
      <c r="B445" s="16" t="s">
        <v>257</v>
      </c>
      <c r="C445" s="16" t="s">
        <v>258</v>
      </c>
      <c r="D445" s="16" t="s">
        <v>184</v>
      </c>
      <c r="E445" s="16" t="s">
        <v>185</v>
      </c>
      <c r="F445" s="16" t="s">
        <v>186</v>
      </c>
      <c r="G445" s="16" t="s">
        <v>187</v>
      </c>
      <c r="H445" s="16" t="s">
        <v>85</v>
      </c>
      <c r="I445" s="16" t="s">
        <v>40</v>
      </c>
      <c r="J445" s="16" t="s">
        <v>38</v>
      </c>
      <c r="K445" s="16" t="s">
        <v>293</v>
      </c>
      <c r="L445" s="15">
        <v>-1011587.4288536148</v>
      </c>
      <c r="M445" s="15">
        <v>-47041</v>
      </c>
      <c r="N445" s="15">
        <v>-1008375.1483766625</v>
      </c>
      <c r="O445" s="15">
        <v>-3212.2804769522045</v>
      </c>
      <c r="P445" s="15">
        <v>-3212.2804769522045</v>
      </c>
      <c r="Q445" s="20">
        <f>P445-R445+P469-37821</f>
        <v>-270897.49512940756</v>
      </c>
      <c r="R445" s="15">
        <v>0</v>
      </c>
      <c r="S445" s="15">
        <f t="shared" si="27"/>
        <v>-270897.49512940756</v>
      </c>
      <c r="T445" s="16"/>
      <c r="U445" s="26"/>
    </row>
    <row r="446" spans="1:21" hidden="1" x14ac:dyDescent="0.25">
      <c r="A446" s="16" t="s">
        <v>37</v>
      </c>
      <c r="B446" s="16" t="s">
        <v>257</v>
      </c>
      <c r="C446" s="16" t="s">
        <v>258</v>
      </c>
      <c r="D446" s="16" t="s">
        <v>184</v>
      </c>
      <c r="E446" s="16" t="s">
        <v>185</v>
      </c>
      <c r="F446" s="16" t="s">
        <v>186</v>
      </c>
      <c r="G446" s="16" t="s">
        <v>187</v>
      </c>
      <c r="H446" s="16" t="s">
        <v>85</v>
      </c>
      <c r="I446" s="16" t="s">
        <v>40</v>
      </c>
      <c r="J446" s="16" t="s">
        <v>298</v>
      </c>
      <c r="K446" s="16" t="s">
        <v>299</v>
      </c>
      <c r="L446" s="15">
        <v>-5708.9554064516124</v>
      </c>
      <c r="M446" s="15">
        <v>0</v>
      </c>
      <c r="N446" s="15">
        <v>-2239.2071376624008</v>
      </c>
      <c r="O446" s="15">
        <v>-3469.7482687892134</v>
      </c>
      <c r="P446" s="15">
        <v>-3469.7482687892134</v>
      </c>
      <c r="Q446" s="15">
        <f t="shared" si="26"/>
        <v>-3469.7482687892134</v>
      </c>
      <c r="R446" s="15">
        <v>0</v>
      </c>
      <c r="S446" s="15">
        <f t="shared" si="27"/>
        <v>-3469.7482687892134</v>
      </c>
      <c r="T446" s="16"/>
      <c r="U446" s="26"/>
    </row>
    <row r="447" spans="1:21" x14ac:dyDescent="0.25">
      <c r="A447" s="16" t="s">
        <v>37</v>
      </c>
      <c r="B447" s="16" t="s">
        <v>269</v>
      </c>
      <c r="C447" s="16" t="s">
        <v>270</v>
      </c>
      <c r="D447" s="16" t="s">
        <v>184</v>
      </c>
      <c r="E447" s="16" t="s">
        <v>185</v>
      </c>
      <c r="F447" s="16" t="s">
        <v>186</v>
      </c>
      <c r="G447" s="16" t="s">
        <v>187</v>
      </c>
      <c r="H447" s="16" t="s">
        <v>85</v>
      </c>
      <c r="I447" s="16" t="s">
        <v>40</v>
      </c>
      <c r="J447" s="16" t="s">
        <v>62</v>
      </c>
      <c r="K447" s="16" t="s">
        <v>63</v>
      </c>
      <c r="L447" s="15">
        <v>-6723.99</v>
      </c>
      <c r="M447" s="15">
        <v>-6723.99</v>
      </c>
      <c r="N447" s="15">
        <v>-6723.9899909000005</v>
      </c>
      <c r="O447" s="15">
        <v>-9.099999260797631E-6</v>
      </c>
      <c r="P447" s="15">
        <v>0</v>
      </c>
      <c r="Q447" s="15">
        <f t="shared" si="26"/>
        <v>0</v>
      </c>
      <c r="R447" s="15">
        <v>0</v>
      </c>
      <c r="S447" s="15">
        <f t="shared" si="27"/>
        <v>0</v>
      </c>
      <c r="T447" s="16"/>
      <c r="U447" s="16"/>
    </row>
    <row r="448" spans="1:21" x14ac:dyDescent="0.25">
      <c r="A448" s="16" t="s">
        <v>37</v>
      </c>
      <c r="B448" s="16" t="s">
        <v>269</v>
      </c>
      <c r="C448" s="16" t="s">
        <v>270</v>
      </c>
      <c r="D448" s="16" t="s">
        <v>184</v>
      </c>
      <c r="E448" s="16" t="s">
        <v>185</v>
      </c>
      <c r="F448" s="16" t="s">
        <v>188</v>
      </c>
      <c r="G448" s="16" t="s">
        <v>189</v>
      </c>
      <c r="H448" s="16" t="s">
        <v>85</v>
      </c>
      <c r="I448" s="16" t="s">
        <v>40</v>
      </c>
      <c r="J448" s="16" t="s">
        <v>38</v>
      </c>
      <c r="K448" s="16" t="s">
        <v>293</v>
      </c>
      <c r="L448" s="15">
        <v>-90794.552764638051</v>
      </c>
      <c r="M448" s="15">
        <v>0</v>
      </c>
      <c r="N448" s="15">
        <v>-16325.78604864061</v>
      </c>
      <c r="O448" s="15">
        <v>-74468.766715997452</v>
      </c>
      <c r="P448" s="15">
        <v>-74468.766715997452</v>
      </c>
      <c r="Q448" s="15">
        <f>P448-R448+74469</f>
        <v>0.23328400254831649</v>
      </c>
      <c r="R448" s="15">
        <v>0</v>
      </c>
      <c r="S448" s="15">
        <f t="shared" si="27"/>
        <v>0.23328400254831649</v>
      </c>
      <c r="T448" s="16"/>
      <c r="U448" s="16"/>
    </row>
    <row r="449" spans="1:21" hidden="1" x14ac:dyDescent="0.25">
      <c r="A449" s="16" t="s">
        <v>37</v>
      </c>
      <c r="B449" s="16" t="s">
        <v>257</v>
      </c>
      <c r="C449" s="16" t="s">
        <v>258</v>
      </c>
      <c r="D449" s="16" t="s">
        <v>184</v>
      </c>
      <c r="E449" s="16" t="s">
        <v>185</v>
      </c>
      <c r="F449" s="16" t="s">
        <v>188</v>
      </c>
      <c r="G449" s="16" t="s">
        <v>189</v>
      </c>
      <c r="H449" s="16" t="s">
        <v>85</v>
      </c>
      <c r="I449" s="16" t="s">
        <v>40</v>
      </c>
      <c r="J449" s="16" t="s">
        <v>38</v>
      </c>
      <c r="K449" s="16" t="s">
        <v>293</v>
      </c>
      <c r="L449" s="15">
        <v>-689042.13293812866</v>
      </c>
      <c r="M449" s="15">
        <v>-142364.8799</v>
      </c>
      <c r="N449" s="15">
        <v>-213139.22097096517</v>
      </c>
      <c r="O449" s="15">
        <v>-475902.91196716361</v>
      </c>
      <c r="P449" s="15">
        <v>-475902.91196716361</v>
      </c>
      <c r="Q449" s="15">
        <f>P449-R449+P448</f>
        <v>-550371.67868316104</v>
      </c>
      <c r="R449" s="15">
        <v>0</v>
      </c>
      <c r="S449" s="15">
        <f t="shared" si="27"/>
        <v>-550371.67868316104</v>
      </c>
      <c r="T449" s="16"/>
      <c r="U449" s="26"/>
    </row>
    <row r="450" spans="1:21" hidden="1" x14ac:dyDescent="0.25">
      <c r="A450" s="16" t="s">
        <v>37</v>
      </c>
      <c r="B450" s="16" t="s">
        <v>257</v>
      </c>
      <c r="C450" s="16" t="s">
        <v>258</v>
      </c>
      <c r="D450" s="16" t="s">
        <v>184</v>
      </c>
      <c r="E450" s="16" t="s">
        <v>185</v>
      </c>
      <c r="F450" s="16" t="s">
        <v>188</v>
      </c>
      <c r="G450" s="16" t="s">
        <v>189</v>
      </c>
      <c r="H450" s="16" t="s">
        <v>85</v>
      </c>
      <c r="I450" s="16" t="s">
        <v>40</v>
      </c>
      <c r="J450" s="16" t="s">
        <v>298</v>
      </c>
      <c r="K450" s="16" t="s">
        <v>299</v>
      </c>
      <c r="L450" s="15">
        <v>-2272.6916129032261</v>
      </c>
      <c r="M450" s="15">
        <v>0</v>
      </c>
      <c r="N450" s="15">
        <v>-893.49612153039993</v>
      </c>
      <c r="O450" s="15">
        <v>-1379.1954913728255</v>
      </c>
      <c r="P450" s="15">
        <v>-1379.1954913728255</v>
      </c>
      <c r="Q450" s="15">
        <f t="shared" si="26"/>
        <v>-1379.1954913728255</v>
      </c>
      <c r="R450" s="15">
        <v>0</v>
      </c>
      <c r="S450" s="15">
        <f t="shared" si="27"/>
        <v>-1379.1954913728255</v>
      </c>
      <c r="T450" s="16"/>
      <c r="U450" s="26"/>
    </row>
    <row r="451" spans="1:21" x14ac:dyDescent="0.25">
      <c r="A451" s="16" t="s">
        <v>37</v>
      </c>
      <c r="B451" s="16" t="s">
        <v>269</v>
      </c>
      <c r="C451" s="16" t="s">
        <v>270</v>
      </c>
      <c r="D451" s="16" t="s">
        <v>184</v>
      </c>
      <c r="E451" s="16" t="s">
        <v>185</v>
      </c>
      <c r="F451" s="16" t="s">
        <v>188</v>
      </c>
      <c r="G451" s="16" t="s">
        <v>189</v>
      </c>
      <c r="H451" s="16" t="s">
        <v>85</v>
      </c>
      <c r="I451" s="16" t="s">
        <v>40</v>
      </c>
      <c r="J451" s="16" t="s">
        <v>62</v>
      </c>
      <c r="K451" s="16" t="s">
        <v>63</v>
      </c>
      <c r="L451" s="15">
        <v>-7691.9489999999987</v>
      </c>
      <c r="M451" s="15">
        <v>-7691.9489999999987</v>
      </c>
      <c r="N451" s="15">
        <v>-7691.9499895899971</v>
      </c>
      <c r="O451" s="15">
        <v>9.8958999842579942E-4</v>
      </c>
      <c r="P451" s="15">
        <v>0</v>
      </c>
      <c r="Q451" s="15">
        <f t="shared" si="26"/>
        <v>0</v>
      </c>
      <c r="R451" s="15">
        <v>0</v>
      </c>
      <c r="S451" s="15">
        <f t="shared" si="27"/>
        <v>0</v>
      </c>
      <c r="T451" s="16"/>
      <c r="U451" s="16"/>
    </row>
    <row r="452" spans="1:21" x14ac:dyDescent="0.25">
      <c r="A452" s="16" t="s">
        <v>37</v>
      </c>
      <c r="B452" s="16" t="s">
        <v>269</v>
      </c>
      <c r="C452" s="16" t="s">
        <v>270</v>
      </c>
      <c r="D452" s="16" t="s">
        <v>184</v>
      </c>
      <c r="E452" s="16" t="s">
        <v>185</v>
      </c>
      <c r="F452" s="16" t="s">
        <v>190</v>
      </c>
      <c r="G452" s="16" t="s">
        <v>191</v>
      </c>
      <c r="H452" s="16" t="s">
        <v>85</v>
      </c>
      <c r="I452" s="16" t="s">
        <v>40</v>
      </c>
      <c r="J452" s="16" t="s">
        <v>38</v>
      </c>
      <c r="K452" s="16" t="s">
        <v>293</v>
      </c>
      <c r="L452" s="15">
        <v>-29893.487483152676</v>
      </c>
      <c r="M452" s="15">
        <v>0</v>
      </c>
      <c r="N452" s="15">
        <v>-10451.235420259469</v>
      </c>
      <c r="O452" s="15">
        <v>-19442.252062893211</v>
      </c>
      <c r="P452" s="15">
        <v>-19442.252062893211</v>
      </c>
      <c r="Q452" s="15">
        <f>P452-R452+19442</f>
        <v>-0.25206289321067743</v>
      </c>
      <c r="R452" s="15">
        <v>0</v>
      </c>
      <c r="S452" s="15">
        <f t="shared" si="27"/>
        <v>-0.25206289321067743</v>
      </c>
      <c r="T452" s="16"/>
      <c r="U452" s="16"/>
    </row>
    <row r="453" spans="1:21" hidden="1" x14ac:dyDescent="0.25">
      <c r="A453" s="16" t="s">
        <v>37</v>
      </c>
      <c r="B453" s="16" t="s">
        <v>257</v>
      </c>
      <c r="C453" s="16" t="s">
        <v>258</v>
      </c>
      <c r="D453" s="16" t="s">
        <v>184</v>
      </c>
      <c r="E453" s="16" t="s">
        <v>185</v>
      </c>
      <c r="F453" s="16" t="s">
        <v>190</v>
      </c>
      <c r="G453" s="16" t="s">
        <v>191</v>
      </c>
      <c r="H453" s="16" t="s">
        <v>85</v>
      </c>
      <c r="I453" s="16" t="s">
        <v>40</v>
      </c>
      <c r="J453" s="16" t="s">
        <v>38</v>
      </c>
      <c r="K453" s="16" t="s">
        <v>293</v>
      </c>
      <c r="L453" s="15">
        <v>-1632946.8463220997</v>
      </c>
      <c r="M453" s="15">
        <v>-674012</v>
      </c>
      <c r="N453" s="15">
        <v>-710143.52228180855</v>
      </c>
      <c r="O453" s="15">
        <v>-922803.3240402909</v>
      </c>
      <c r="P453" s="15">
        <v>-922803.3240402909</v>
      </c>
      <c r="Q453" s="15">
        <f>P453-R453+P452</f>
        <v>-942245.57610318414</v>
      </c>
      <c r="R453" s="15">
        <v>0</v>
      </c>
      <c r="S453" s="15">
        <f t="shared" si="27"/>
        <v>-942245.57610318414</v>
      </c>
      <c r="T453" s="16"/>
      <c r="U453" s="26"/>
    </row>
    <row r="454" spans="1:21" hidden="1" x14ac:dyDescent="0.25">
      <c r="A454" s="16" t="s">
        <v>37</v>
      </c>
      <c r="B454" s="16" t="s">
        <v>257</v>
      </c>
      <c r="C454" s="16" t="s">
        <v>258</v>
      </c>
      <c r="D454" s="16" t="s">
        <v>184</v>
      </c>
      <c r="E454" s="16" t="s">
        <v>185</v>
      </c>
      <c r="F454" s="16" t="s">
        <v>190</v>
      </c>
      <c r="G454" s="16" t="s">
        <v>191</v>
      </c>
      <c r="H454" s="16" t="s">
        <v>85</v>
      </c>
      <c r="I454" s="16" t="s">
        <v>40</v>
      </c>
      <c r="J454" s="16" t="s">
        <v>192</v>
      </c>
      <c r="K454" s="16" t="s">
        <v>193</v>
      </c>
      <c r="L454" s="15">
        <v>-1607237</v>
      </c>
      <c r="M454" s="15">
        <v>-1607237</v>
      </c>
      <c r="N454" s="15">
        <v>879670.23009999993</v>
      </c>
      <c r="O454" s="15">
        <v>-2486907.2300999998</v>
      </c>
      <c r="P454" s="15">
        <v>0</v>
      </c>
      <c r="Q454" s="15">
        <f t="shared" si="26"/>
        <v>0</v>
      </c>
      <c r="R454" s="15">
        <v>0</v>
      </c>
      <c r="S454" s="15">
        <f t="shared" si="27"/>
        <v>0</v>
      </c>
      <c r="T454" s="16"/>
      <c r="U454" s="26"/>
    </row>
    <row r="455" spans="1:21" hidden="1" x14ac:dyDescent="0.25">
      <c r="A455" s="16" t="s">
        <v>37</v>
      </c>
      <c r="B455" s="16" t="s">
        <v>257</v>
      </c>
      <c r="C455" s="16" t="s">
        <v>258</v>
      </c>
      <c r="D455" s="16" t="s">
        <v>184</v>
      </c>
      <c r="E455" s="16" t="s">
        <v>185</v>
      </c>
      <c r="F455" s="16" t="s">
        <v>190</v>
      </c>
      <c r="G455" s="16" t="s">
        <v>191</v>
      </c>
      <c r="H455" s="16" t="s">
        <v>85</v>
      </c>
      <c r="I455" s="16" t="s">
        <v>40</v>
      </c>
      <c r="J455" s="16" t="s">
        <v>194</v>
      </c>
      <c r="K455" s="16" t="s">
        <v>195</v>
      </c>
      <c r="L455" s="15">
        <v>-10549909</v>
      </c>
      <c r="M455" s="15">
        <v>-10191909</v>
      </c>
      <c r="N455" s="15">
        <v>-8691420.9600000009</v>
      </c>
      <c r="O455" s="15">
        <v>-1858488.040000001</v>
      </c>
      <c r="P455" s="15">
        <v>-358000</v>
      </c>
      <c r="Q455" s="15">
        <f t="shared" si="26"/>
        <v>-358000</v>
      </c>
      <c r="R455" s="15">
        <v>0</v>
      </c>
      <c r="S455" s="15">
        <f t="shared" si="27"/>
        <v>-358000</v>
      </c>
      <c r="T455" s="16"/>
      <c r="U455" s="26"/>
    </row>
    <row r="456" spans="1:21" hidden="1" x14ac:dyDescent="0.25">
      <c r="A456" s="16" t="s">
        <v>37</v>
      </c>
      <c r="B456" s="16" t="s">
        <v>257</v>
      </c>
      <c r="C456" s="16" t="s">
        <v>258</v>
      </c>
      <c r="D456" s="16" t="s">
        <v>184</v>
      </c>
      <c r="E456" s="16" t="s">
        <v>185</v>
      </c>
      <c r="F456" s="16" t="s">
        <v>190</v>
      </c>
      <c r="G456" s="16" t="s">
        <v>191</v>
      </c>
      <c r="H456" s="16" t="s">
        <v>85</v>
      </c>
      <c r="I456" s="16" t="s">
        <v>40</v>
      </c>
      <c r="J456" s="16" t="s">
        <v>196</v>
      </c>
      <c r="K456" s="16" t="s">
        <v>197</v>
      </c>
      <c r="L456" s="15">
        <v>-5000000</v>
      </c>
      <c r="M456" s="15">
        <v>0</v>
      </c>
      <c r="N456" s="15">
        <v>0</v>
      </c>
      <c r="O456" s="15">
        <v>-5000000</v>
      </c>
      <c r="P456" s="15">
        <v>-5000000</v>
      </c>
      <c r="Q456" s="15">
        <f t="shared" si="26"/>
        <v>-5000000</v>
      </c>
      <c r="R456" s="15">
        <v>0</v>
      </c>
      <c r="S456" s="15">
        <f t="shared" si="27"/>
        <v>-5000000</v>
      </c>
      <c r="T456" s="16"/>
      <c r="U456" s="26"/>
    </row>
    <row r="457" spans="1:21" hidden="1" x14ac:dyDescent="0.25">
      <c r="A457" s="16" t="s">
        <v>37</v>
      </c>
      <c r="B457" s="16" t="s">
        <v>257</v>
      </c>
      <c r="C457" s="16" t="s">
        <v>258</v>
      </c>
      <c r="D457" s="16" t="s">
        <v>184</v>
      </c>
      <c r="E457" s="16" t="s">
        <v>185</v>
      </c>
      <c r="F457" s="16" t="s">
        <v>190</v>
      </c>
      <c r="G457" s="16" t="s">
        <v>191</v>
      </c>
      <c r="H457" s="16" t="s">
        <v>85</v>
      </c>
      <c r="I457" s="16" t="s">
        <v>40</v>
      </c>
      <c r="J457" s="16" t="s">
        <v>198</v>
      </c>
      <c r="K457" s="16" t="s">
        <v>199</v>
      </c>
      <c r="L457" s="15">
        <v>-3290721</v>
      </c>
      <c r="M457" s="15">
        <v>-250721</v>
      </c>
      <c r="N457" s="15">
        <v>-1351800.8</v>
      </c>
      <c r="O457" s="15">
        <v>-1938920.2000000004</v>
      </c>
      <c r="P457" s="15">
        <v>-1938920.2000000004</v>
      </c>
      <c r="Q457" s="15">
        <f t="shared" si="26"/>
        <v>-1938920.2000000004</v>
      </c>
      <c r="R457" s="15">
        <v>0</v>
      </c>
      <c r="S457" s="15">
        <f t="shared" si="27"/>
        <v>-1938920.2000000004</v>
      </c>
      <c r="T457" s="16"/>
      <c r="U457" s="26"/>
    </row>
    <row r="458" spans="1:21" hidden="1" x14ac:dyDescent="0.25">
      <c r="A458" s="16" t="s">
        <v>37</v>
      </c>
      <c r="B458" s="16" t="s">
        <v>257</v>
      </c>
      <c r="C458" s="16" t="s">
        <v>258</v>
      </c>
      <c r="D458" s="16" t="s">
        <v>184</v>
      </c>
      <c r="E458" s="16" t="s">
        <v>185</v>
      </c>
      <c r="F458" s="16" t="s">
        <v>190</v>
      </c>
      <c r="G458" s="16" t="s">
        <v>191</v>
      </c>
      <c r="H458" s="16" t="s">
        <v>85</v>
      </c>
      <c r="I458" s="16" t="s">
        <v>40</v>
      </c>
      <c r="J458" s="16" t="s">
        <v>200</v>
      </c>
      <c r="K458" s="16" t="s">
        <v>201</v>
      </c>
      <c r="L458" s="15">
        <v>-14400</v>
      </c>
      <c r="M458" s="15">
        <v>-14400</v>
      </c>
      <c r="N458" s="15">
        <v>-14400</v>
      </c>
      <c r="O458" s="15">
        <v>0</v>
      </c>
      <c r="P458" s="15">
        <v>0</v>
      </c>
      <c r="Q458" s="15">
        <f t="shared" si="26"/>
        <v>0</v>
      </c>
      <c r="R458" s="15">
        <v>0</v>
      </c>
      <c r="S458" s="15">
        <f t="shared" si="27"/>
        <v>0</v>
      </c>
      <c r="T458" s="16"/>
      <c r="U458" s="26"/>
    </row>
    <row r="459" spans="1:21" hidden="1" x14ac:dyDescent="0.25">
      <c r="A459" s="16" t="s">
        <v>37</v>
      </c>
      <c r="B459" s="16" t="s">
        <v>257</v>
      </c>
      <c r="C459" s="16" t="s">
        <v>258</v>
      </c>
      <c r="D459" s="16" t="s">
        <v>184</v>
      </c>
      <c r="E459" s="16" t="s">
        <v>185</v>
      </c>
      <c r="F459" s="16" t="s">
        <v>190</v>
      </c>
      <c r="G459" s="16" t="s">
        <v>191</v>
      </c>
      <c r="H459" s="16" t="s">
        <v>85</v>
      </c>
      <c r="I459" s="16" t="s">
        <v>40</v>
      </c>
      <c r="J459" s="16" t="s">
        <v>298</v>
      </c>
      <c r="K459" s="16" t="s">
        <v>299</v>
      </c>
      <c r="L459" s="15">
        <v>-232910.76984380343</v>
      </c>
      <c r="M459" s="15">
        <v>-35186</v>
      </c>
      <c r="N459" s="15">
        <v>-22912.121005613822</v>
      </c>
      <c r="O459" s="15">
        <v>-209998.64883818963</v>
      </c>
      <c r="P459" s="15">
        <f>O459</f>
        <v>-209998.64883818963</v>
      </c>
      <c r="Q459" s="15">
        <f t="shared" si="26"/>
        <v>-209998.64883818963</v>
      </c>
      <c r="R459" s="15">
        <v>0</v>
      </c>
      <c r="S459" s="15">
        <f t="shared" si="27"/>
        <v>-209998.64883818963</v>
      </c>
      <c r="T459" s="16"/>
      <c r="U459" s="26"/>
    </row>
    <row r="460" spans="1:21" x14ac:dyDescent="0.25">
      <c r="A460" s="16" t="s">
        <v>37</v>
      </c>
      <c r="B460" s="16" t="s">
        <v>269</v>
      </c>
      <c r="C460" s="16" t="s">
        <v>270</v>
      </c>
      <c r="D460" s="16" t="s">
        <v>184</v>
      </c>
      <c r="E460" s="16" t="s">
        <v>185</v>
      </c>
      <c r="F460" s="16" t="s">
        <v>190</v>
      </c>
      <c r="G460" s="16" t="s">
        <v>191</v>
      </c>
      <c r="H460" s="16" t="s">
        <v>85</v>
      </c>
      <c r="I460" s="16" t="s">
        <v>40</v>
      </c>
      <c r="J460" s="16" t="s">
        <v>62</v>
      </c>
      <c r="K460" s="16" t="s">
        <v>63</v>
      </c>
      <c r="L460" s="15">
        <v>-8556.4620000000032</v>
      </c>
      <c r="M460" s="15">
        <v>-8556.4620000000032</v>
      </c>
      <c r="N460" s="15">
        <v>-8556.4599884199997</v>
      </c>
      <c r="O460" s="15">
        <v>-2.0115800020903407E-3</v>
      </c>
      <c r="P460" s="15">
        <v>0</v>
      </c>
      <c r="Q460" s="15">
        <f t="shared" ref="Q460:Q523" si="30">P460-R460</f>
        <v>0</v>
      </c>
      <c r="R460" s="15">
        <v>0</v>
      </c>
      <c r="S460" s="15">
        <f t="shared" ref="S460:S523" si="31">SUM(Q460:R460)</f>
        <v>0</v>
      </c>
      <c r="T460" s="16"/>
      <c r="U460" s="16"/>
    </row>
    <row r="461" spans="1:21" x14ac:dyDescent="0.25">
      <c r="A461" s="16" t="s">
        <v>37</v>
      </c>
      <c r="B461" s="16" t="s">
        <v>269</v>
      </c>
      <c r="C461" s="16" t="s">
        <v>270</v>
      </c>
      <c r="D461" s="16" t="s">
        <v>184</v>
      </c>
      <c r="E461" s="16" t="s">
        <v>202</v>
      </c>
      <c r="F461" s="16" t="s">
        <v>203</v>
      </c>
      <c r="G461" s="16" t="s">
        <v>204</v>
      </c>
      <c r="H461" s="16" t="s">
        <v>85</v>
      </c>
      <c r="I461" s="16" t="s">
        <v>40</v>
      </c>
      <c r="J461" s="16" t="s">
        <v>38</v>
      </c>
      <c r="K461" s="16" t="s">
        <v>293</v>
      </c>
      <c r="L461" s="15">
        <v>-102305.00000000001</v>
      </c>
      <c r="M461" s="15">
        <v>0</v>
      </c>
      <c r="N461" s="15">
        <v>0</v>
      </c>
      <c r="O461" s="15">
        <v>-102305.00000000001</v>
      </c>
      <c r="P461" s="15">
        <v>-102305.00000000001</v>
      </c>
      <c r="Q461" s="15">
        <v>0</v>
      </c>
      <c r="R461" s="15">
        <v>0</v>
      </c>
      <c r="S461" s="15">
        <f t="shared" si="31"/>
        <v>0</v>
      </c>
      <c r="T461" s="16"/>
      <c r="U461" s="16"/>
    </row>
    <row r="462" spans="1:21" hidden="1" x14ac:dyDescent="0.25">
      <c r="A462" s="16" t="s">
        <v>37</v>
      </c>
      <c r="B462" s="16" t="s">
        <v>257</v>
      </c>
      <c r="C462" s="16" t="s">
        <v>258</v>
      </c>
      <c r="D462" s="16" t="s">
        <v>184</v>
      </c>
      <c r="E462" s="16" t="s">
        <v>202</v>
      </c>
      <c r="F462" s="16" t="s">
        <v>203</v>
      </c>
      <c r="G462" s="16" t="s">
        <v>204</v>
      </c>
      <c r="H462" s="16" t="s">
        <v>85</v>
      </c>
      <c r="I462" s="16" t="s">
        <v>40</v>
      </c>
      <c r="J462" s="16" t="s">
        <v>38</v>
      </c>
      <c r="K462" s="16" t="s">
        <v>293</v>
      </c>
      <c r="L462" s="15">
        <v>-20406.2499980844</v>
      </c>
      <c r="M462" s="15">
        <v>0</v>
      </c>
      <c r="N462" s="15">
        <v>-20406.25</v>
      </c>
      <c r="O462" s="15">
        <v>1.915599568746984E-6</v>
      </c>
      <c r="P462" s="15">
        <v>0</v>
      </c>
      <c r="Q462" s="15">
        <f t="shared" si="30"/>
        <v>0</v>
      </c>
      <c r="R462" s="15">
        <v>0</v>
      </c>
      <c r="S462" s="15">
        <f t="shared" si="31"/>
        <v>0</v>
      </c>
      <c r="T462" s="16"/>
      <c r="U462" s="26"/>
    </row>
    <row r="463" spans="1:21" x14ac:dyDescent="0.25">
      <c r="A463" s="16" t="s">
        <v>37</v>
      </c>
      <c r="B463" s="16" t="s">
        <v>269</v>
      </c>
      <c r="C463" s="16" t="s">
        <v>270</v>
      </c>
      <c r="D463" s="16" t="s">
        <v>184</v>
      </c>
      <c r="E463" s="16" t="s">
        <v>202</v>
      </c>
      <c r="F463" s="16" t="s">
        <v>203</v>
      </c>
      <c r="G463" s="16" t="s">
        <v>204</v>
      </c>
      <c r="H463" s="16" t="s">
        <v>85</v>
      </c>
      <c r="I463" s="16" t="s">
        <v>40</v>
      </c>
      <c r="J463" s="16" t="s">
        <v>62</v>
      </c>
      <c r="K463" s="16" t="s">
        <v>63</v>
      </c>
      <c r="L463" s="15">
        <v>-2142.81</v>
      </c>
      <c r="M463" s="15">
        <v>-2142.81</v>
      </c>
      <c r="N463" s="15">
        <v>-2142.8099971000001</v>
      </c>
      <c r="O463" s="15">
        <v>-2.8999997994105797E-6</v>
      </c>
      <c r="P463" s="15">
        <v>0</v>
      </c>
      <c r="Q463" s="15">
        <f t="shared" si="30"/>
        <v>0</v>
      </c>
      <c r="R463" s="15">
        <v>0</v>
      </c>
      <c r="S463" s="15">
        <f t="shared" si="31"/>
        <v>0</v>
      </c>
      <c r="T463" s="16"/>
      <c r="U463" s="16"/>
    </row>
    <row r="464" spans="1:21" x14ac:dyDescent="0.25">
      <c r="A464" s="16" t="s">
        <v>37</v>
      </c>
      <c r="B464" s="16" t="s">
        <v>269</v>
      </c>
      <c r="C464" s="16" t="s">
        <v>270</v>
      </c>
      <c r="D464" s="16" t="s">
        <v>184</v>
      </c>
      <c r="E464" s="16" t="s">
        <v>202</v>
      </c>
      <c r="F464" s="16" t="s">
        <v>205</v>
      </c>
      <c r="G464" s="16" t="s">
        <v>206</v>
      </c>
      <c r="H464" s="16" t="s">
        <v>85</v>
      </c>
      <c r="I464" s="16" t="s">
        <v>40</v>
      </c>
      <c r="J464" s="16" t="s">
        <v>38</v>
      </c>
      <c r="K464" s="16" t="s">
        <v>293</v>
      </c>
      <c r="L464" s="15">
        <v>-10580.000000000002</v>
      </c>
      <c r="M464" s="15">
        <v>0</v>
      </c>
      <c r="N464" s="15">
        <v>0</v>
      </c>
      <c r="O464" s="15">
        <v>-10580.000000000002</v>
      </c>
      <c r="P464" s="15">
        <v>-10580.000000000002</v>
      </c>
      <c r="Q464" s="15">
        <v>0</v>
      </c>
      <c r="R464" s="15">
        <v>0</v>
      </c>
      <c r="S464" s="15">
        <f t="shared" si="31"/>
        <v>0</v>
      </c>
      <c r="T464" s="16"/>
      <c r="U464" s="16"/>
    </row>
    <row r="465" spans="1:21" hidden="1" x14ac:dyDescent="0.25">
      <c r="A465" s="16" t="s">
        <v>37</v>
      </c>
      <c r="B465" s="16" t="s">
        <v>257</v>
      </c>
      <c r="C465" s="16" t="s">
        <v>258</v>
      </c>
      <c r="D465" s="16" t="s">
        <v>184</v>
      </c>
      <c r="E465" s="16" t="s">
        <v>202</v>
      </c>
      <c r="F465" s="16" t="s">
        <v>205</v>
      </c>
      <c r="G465" s="16" t="s">
        <v>206</v>
      </c>
      <c r="H465" s="16" t="s">
        <v>85</v>
      </c>
      <c r="I465" s="16" t="s">
        <v>40</v>
      </c>
      <c r="J465" s="16" t="s">
        <v>38</v>
      </c>
      <c r="K465" s="16" t="s">
        <v>293</v>
      </c>
      <c r="L465" s="15">
        <v>-24487.499999801898</v>
      </c>
      <c r="M465" s="15">
        <v>0</v>
      </c>
      <c r="N465" s="15">
        <v>-24487.5</v>
      </c>
      <c r="O465" s="15">
        <v>1.9810067897196859E-7</v>
      </c>
      <c r="P465" s="15">
        <v>0</v>
      </c>
      <c r="Q465" s="15">
        <f t="shared" si="30"/>
        <v>0</v>
      </c>
      <c r="R465" s="15">
        <v>0</v>
      </c>
      <c r="S465" s="15">
        <f t="shared" si="31"/>
        <v>0</v>
      </c>
      <c r="T465" s="16"/>
      <c r="U465" s="26"/>
    </row>
    <row r="466" spans="1:21" x14ac:dyDescent="0.25">
      <c r="A466" s="16" t="s">
        <v>37</v>
      </c>
      <c r="B466" s="16" t="s">
        <v>269</v>
      </c>
      <c r="C466" s="16" t="s">
        <v>270</v>
      </c>
      <c r="D466" s="16" t="s">
        <v>184</v>
      </c>
      <c r="E466" s="16" t="s">
        <v>202</v>
      </c>
      <c r="F466" s="16" t="s">
        <v>207</v>
      </c>
      <c r="G466" s="16" t="s">
        <v>208</v>
      </c>
      <c r="H466" s="16" t="s">
        <v>85</v>
      </c>
      <c r="I466" s="16" t="s">
        <v>40</v>
      </c>
      <c r="J466" s="16" t="s">
        <v>38</v>
      </c>
      <c r="K466" s="16" t="s">
        <v>293</v>
      </c>
      <c r="L466" s="15">
        <v>-6020.0000000000018</v>
      </c>
      <c r="M466" s="15">
        <v>0</v>
      </c>
      <c r="N466" s="15">
        <v>0</v>
      </c>
      <c r="O466" s="15">
        <v>-6020.0000000000018</v>
      </c>
      <c r="P466" s="15">
        <v>-6020.0000000000018</v>
      </c>
      <c r="Q466" s="15">
        <v>0</v>
      </c>
      <c r="R466" s="15">
        <v>0</v>
      </c>
      <c r="S466" s="15">
        <f t="shared" si="31"/>
        <v>0</v>
      </c>
      <c r="T466" s="16"/>
      <c r="U466" s="16"/>
    </row>
    <row r="467" spans="1:21" hidden="1" x14ac:dyDescent="0.25">
      <c r="A467" s="16" t="s">
        <v>37</v>
      </c>
      <c r="B467" s="16" t="s">
        <v>257</v>
      </c>
      <c r="C467" s="16" t="s">
        <v>258</v>
      </c>
      <c r="D467" s="16" t="s">
        <v>184</v>
      </c>
      <c r="E467" s="16" t="s">
        <v>202</v>
      </c>
      <c r="F467" s="16" t="s">
        <v>207</v>
      </c>
      <c r="G467" s="16" t="s">
        <v>208</v>
      </c>
      <c r="H467" s="16" t="s">
        <v>85</v>
      </c>
      <c r="I467" s="16" t="s">
        <v>40</v>
      </c>
      <c r="J467" s="16" t="s">
        <v>38</v>
      </c>
      <c r="K467" s="16" t="s">
        <v>293</v>
      </c>
      <c r="L467" s="15">
        <v>-16324.999999887281</v>
      </c>
      <c r="M467" s="15">
        <v>0</v>
      </c>
      <c r="N467" s="15">
        <v>-16325</v>
      </c>
      <c r="O467" s="15">
        <v>1.1271731636952609E-7</v>
      </c>
      <c r="P467" s="15">
        <v>0</v>
      </c>
      <c r="Q467" s="15">
        <f t="shared" si="30"/>
        <v>0</v>
      </c>
      <c r="R467" s="15">
        <v>0</v>
      </c>
      <c r="S467" s="15">
        <f t="shared" si="31"/>
        <v>0</v>
      </c>
      <c r="T467" s="16"/>
      <c r="U467" s="26"/>
    </row>
    <row r="468" spans="1:21" x14ac:dyDescent="0.25">
      <c r="A468" s="16" t="s">
        <v>37</v>
      </c>
      <c r="B468" s="16" t="s">
        <v>269</v>
      </c>
      <c r="C468" s="16" t="s">
        <v>270</v>
      </c>
      <c r="D468" s="16" t="s">
        <v>184</v>
      </c>
      <c r="E468" s="16" t="s">
        <v>209</v>
      </c>
      <c r="F468" s="16" t="s">
        <v>210</v>
      </c>
      <c r="G468" s="16" t="s">
        <v>211</v>
      </c>
      <c r="H468" s="16" t="s">
        <v>85</v>
      </c>
      <c r="I468" s="16" t="s">
        <v>40</v>
      </c>
      <c r="J468" s="16" t="s">
        <v>38</v>
      </c>
      <c r="K468" s="16" t="s">
        <v>293</v>
      </c>
      <c r="L468" s="15">
        <v>-6648</v>
      </c>
      <c r="M468" s="15">
        <v>0</v>
      </c>
      <c r="N468" s="15">
        <v>0</v>
      </c>
      <c r="O468" s="15">
        <v>-6648</v>
      </c>
      <c r="P468" s="15">
        <v>-6648</v>
      </c>
      <c r="Q468" s="15">
        <v>0</v>
      </c>
      <c r="R468" s="15">
        <v>0</v>
      </c>
      <c r="S468" s="15">
        <f t="shared" si="31"/>
        <v>0</v>
      </c>
      <c r="T468" s="16"/>
      <c r="U468" s="16"/>
    </row>
    <row r="469" spans="1:21" hidden="1" x14ac:dyDescent="0.25">
      <c r="A469" s="16" t="s">
        <v>37</v>
      </c>
      <c r="B469" s="16" t="s">
        <v>257</v>
      </c>
      <c r="C469" s="16" t="s">
        <v>258</v>
      </c>
      <c r="D469" s="16" t="s">
        <v>184</v>
      </c>
      <c r="E469" s="16" t="s">
        <v>209</v>
      </c>
      <c r="F469" s="16" t="s">
        <v>210</v>
      </c>
      <c r="G469" s="16" t="s">
        <v>211</v>
      </c>
      <c r="H469" s="16" t="s">
        <v>85</v>
      </c>
      <c r="I469" s="16" t="s">
        <v>40</v>
      </c>
      <c r="J469" s="16" t="s">
        <v>38</v>
      </c>
      <c r="K469" s="16" t="s">
        <v>293</v>
      </c>
      <c r="L469" s="15">
        <v>-283322.00465245533</v>
      </c>
      <c r="M469" s="15">
        <v>-11655</v>
      </c>
      <c r="N469" s="15">
        <v>-53457.789999999994</v>
      </c>
      <c r="O469" s="15">
        <v>-229864.21465245535</v>
      </c>
      <c r="P469" s="15">
        <v>-229864.21465245535</v>
      </c>
      <c r="Q469" s="15">
        <v>0</v>
      </c>
      <c r="R469" s="15">
        <v>0</v>
      </c>
      <c r="S469" s="15">
        <f t="shared" si="31"/>
        <v>0</v>
      </c>
      <c r="T469" s="16"/>
      <c r="U469" s="26"/>
    </row>
    <row r="470" spans="1:21" x14ac:dyDescent="0.25">
      <c r="A470" s="16" t="s">
        <v>37</v>
      </c>
      <c r="B470" s="16" t="s">
        <v>269</v>
      </c>
      <c r="C470" s="16" t="s">
        <v>270</v>
      </c>
      <c r="D470" s="16" t="s">
        <v>184</v>
      </c>
      <c r="E470" s="16" t="s">
        <v>209</v>
      </c>
      <c r="F470" s="16" t="s">
        <v>210</v>
      </c>
      <c r="G470" s="16" t="s">
        <v>211</v>
      </c>
      <c r="H470" s="16" t="s">
        <v>85</v>
      </c>
      <c r="I470" s="16" t="s">
        <v>40</v>
      </c>
      <c r="J470" s="16" t="s">
        <v>62</v>
      </c>
      <c r="K470" s="16" t="s">
        <v>63</v>
      </c>
      <c r="L470" s="15">
        <v>-9472.6980000000003</v>
      </c>
      <c r="M470" s="15">
        <v>-9472.6980000000003</v>
      </c>
      <c r="N470" s="15">
        <v>-9472.6999871799962</v>
      </c>
      <c r="O470" s="15">
        <v>1.9871799959219061E-3</v>
      </c>
      <c r="P470" s="15">
        <v>0</v>
      </c>
      <c r="Q470" s="15">
        <f t="shared" si="30"/>
        <v>0</v>
      </c>
      <c r="R470" s="15">
        <v>0</v>
      </c>
      <c r="S470" s="15">
        <f t="shared" si="31"/>
        <v>0</v>
      </c>
      <c r="T470" s="16"/>
      <c r="U470" s="16"/>
    </row>
    <row r="471" spans="1:21" x14ac:dyDescent="0.25">
      <c r="A471" s="16" t="s">
        <v>37</v>
      </c>
      <c r="B471" s="16" t="s">
        <v>269</v>
      </c>
      <c r="C471" s="16" t="s">
        <v>270</v>
      </c>
      <c r="D471" s="16" t="s">
        <v>184</v>
      </c>
      <c r="E471" s="16" t="s">
        <v>209</v>
      </c>
      <c r="F471" s="16" t="s">
        <v>212</v>
      </c>
      <c r="G471" s="16" t="s">
        <v>213</v>
      </c>
      <c r="H471" s="16" t="s">
        <v>85</v>
      </c>
      <c r="I471" s="16" t="s">
        <v>40</v>
      </c>
      <c r="J471" s="16" t="s">
        <v>38</v>
      </c>
      <c r="K471" s="16" t="s">
        <v>293</v>
      </c>
      <c r="L471" s="15">
        <v>-1499</v>
      </c>
      <c r="M471" s="15">
        <v>0</v>
      </c>
      <c r="N471" s="15">
        <v>0</v>
      </c>
      <c r="O471" s="15">
        <v>-1499</v>
      </c>
      <c r="P471" s="15">
        <v>-1499</v>
      </c>
      <c r="Q471" s="15">
        <v>0</v>
      </c>
      <c r="R471" s="15">
        <v>0</v>
      </c>
      <c r="S471" s="15">
        <f t="shared" si="31"/>
        <v>0</v>
      </c>
      <c r="T471" s="16"/>
      <c r="U471" s="16"/>
    </row>
    <row r="472" spans="1:21" hidden="1" x14ac:dyDescent="0.25">
      <c r="A472" s="16" t="s">
        <v>37</v>
      </c>
      <c r="B472" s="16" t="s">
        <v>257</v>
      </c>
      <c r="C472" s="16" t="s">
        <v>258</v>
      </c>
      <c r="D472" s="16" t="s">
        <v>184</v>
      </c>
      <c r="E472" s="16" t="s">
        <v>209</v>
      </c>
      <c r="F472" s="16" t="s">
        <v>212</v>
      </c>
      <c r="G472" s="16" t="s">
        <v>213</v>
      </c>
      <c r="H472" s="16" t="s">
        <v>85</v>
      </c>
      <c r="I472" s="16" t="s">
        <v>40</v>
      </c>
      <c r="J472" s="16" t="s">
        <v>38</v>
      </c>
      <c r="K472" s="16" t="s">
        <v>293</v>
      </c>
      <c r="L472" s="15">
        <v>-8162.499999971933</v>
      </c>
      <c r="M472" s="15">
        <v>0</v>
      </c>
      <c r="N472" s="15">
        <v>-8162.5</v>
      </c>
      <c r="O472" s="15">
        <v>2.8067006496712565E-8</v>
      </c>
      <c r="P472" s="15">
        <v>0</v>
      </c>
      <c r="Q472" s="15">
        <f t="shared" si="30"/>
        <v>0</v>
      </c>
      <c r="R472" s="15">
        <v>0</v>
      </c>
      <c r="S472" s="15">
        <f t="shared" si="31"/>
        <v>0</v>
      </c>
      <c r="T472" s="16"/>
      <c r="U472" s="26"/>
    </row>
    <row r="473" spans="1:21" hidden="1" x14ac:dyDescent="0.25">
      <c r="A473" s="16" t="s">
        <v>37</v>
      </c>
      <c r="B473" s="16" t="s">
        <v>271</v>
      </c>
      <c r="C473" s="16" t="s">
        <v>272</v>
      </c>
      <c r="D473" s="16" t="s">
        <v>214</v>
      </c>
      <c r="E473" s="16" t="s">
        <v>215</v>
      </c>
      <c r="F473" s="16" t="s">
        <v>216</v>
      </c>
      <c r="G473" s="16" t="s">
        <v>217</v>
      </c>
      <c r="H473" s="16" t="s">
        <v>85</v>
      </c>
      <c r="I473" s="16" t="s">
        <v>40</v>
      </c>
      <c r="J473" s="16" t="s">
        <v>77</v>
      </c>
      <c r="K473" s="16" t="s">
        <v>78</v>
      </c>
      <c r="L473" s="15">
        <v>0</v>
      </c>
      <c r="M473" s="15">
        <v>0</v>
      </c>
      <c r="N473" s="15">
        <v>0</v>
      </c>
      <c r="O473" s="15">
        <v>0</v>
      </c>
      <c r="P473" s="15">
        <v>0</v>
      </c>
      <c r="Q473" s="15">
        <f t="shared" si="30"/>
        <v>180000</v>
      </c>
      <c r="R473" s="15">
        <v>-180000</v>
      </c>
      <c r="S473" s="15">
        <f t="shared" si="31"/>
        <v>0</v>
      </c>
      <c r="T473" s="16"/>
      <c r="U473" s="16"/>
    </row>
    <row r="474" spans="1:21" hidden="1" x14ac:dyDescent="0.25">
      <c r="A474" s="16" t="s">
        <v>37</v>
      </c>
      <c r="B474" s="16" t="s">
        <v>271</v>
      </c>
      <c r="C474" s="16" t="s">
        <v>272</v>
      </c>
      <c r="D474" s="16" t="s">
        <v>214</v>
      </c>
      <c r="E474" s="16" t="s">
        <v>215</v>
      </c>
      <c r="F474" s="16" t="s">
        <v>216</v>
      </c>
      <c r="G474" s="16" t="s">
        <v>217</v>
      </c>
      <c r="H474" s="16" t="s">
        <v>85</v>
      </c>
      <c r="I474" s="16" t="s">
        <v>40</v>
      </c>
      <c r="J474" s="16" t="s">
        <v>79</v>
      </c>
      <c r="K474" s="16" t="s">
        <v>80</v>
      </c>
      <c r="L474" s="15">
        <v>0</v>
      </c>
      <c r="M474" s="15">
        <v>0</v>
      </c>
      <c r="N474" s="15">
        <v>0</v>
      </c>
      <c r="O474" s="15">
        <v>0</v>
      </c>
      <c r="P474" s="15">
        <v>0</v>
      </c>
      <c r="Q474" s="15">
        <f t="shared" si="30"/>
        <v>200000</v>
      </c>
      <c r="R474" s="15">
        <v>-200000</v>
      </c>
      <c r="S474" s="15">
        <f t="shared" si="31"/>
        <v>0</v>
      </c>
      <c r="T474" s="16"/>
      <c r="U474" s="16"/>
    </row>
    <row r="475" spans="1:21" x14ac:dyDescent="0.25">
      <c r="A475" s="16" t="s">
        <v>37</v>
      </c>
      <c r="B475" s="16" t="s">
        <v>269</v>
      </c>
      <c r="C475" s="16" t="s">
        <v>270</v>
      </c>
      <c r="D475" s="16" t="s">
        <v>214</v>
      </c>
      <c r="E475" s="16" t="s">
        <v>218</v>
      </c>
      <c r="F475" s="16" t="s">
        <v>219</v>
      </c>
      <c r="G475" s="16" t="s">
        <v>220</v>
      </c>
      <c r="H475" s="16" t="s">
        <v>85</v>
      </c>
      <c r="I475" s="16" t="s">
        <v>40</v>
      </c>
      <c r="J475" s="16" t="s">
        <v>38</v>
      </c>
      <c r="K475" s="16" t="s">
        <v>293</v>
      </c>
      <c r="L475" s="15">
        <v>-15348.801630610344</v>
      </c>
      <c r="M475" s="15">
        <v>0</v>
      </c>
      <c r="N475" s="15">
        <v>-6181.9399054475953</v>
      </c>
      <c r="O475" s="15">
        <v>-9166.8617251627475</v>
      </c>
      <c r="P475" s="15">
        <v>-9166.8617251627475</v>
      </c>
      <c r="Q475" s="15">
        <f>P475+9167</f>
        <v>0.13827483725253842</v>
      </c>
      <c r="R475" s="15">
        <v>0</v>
      </c>
      <c r="S475" s="15">
        <f t="shared" si="31"/>
        <v>0.13827483725253842</v>
      </c>
      <c r="T475" s="16"/>
      <c r="U475" s="16"/>
    </row>
    <row r="476" spans="1:21" hidden="1" x14ac:dyDescent="0.25">
      <c r="A476" s="16" t="s">
        <v>37</v>
      </c>
      <c r="B476" s="16" t="s">
        <v>257</v>
      </c>
      <c r="C476" s="16" t="s">
        <v>258</v>
      </c>
      <c r="D476" s="16" t="s">
        <v>214</v>
      </c>
      <c r="E476" s="16" t="s">
        <v>218</v>
      </c>
      <c r="F476" s="16" t="s">
        <v>219</v>
      </c>
      <c r="G476" s="16" t="s">
        <v>220</v>
      </c>
      <c r="H476" s="16" t="s">
        <v>85</v>
      </c>
      <c r="I476" s="16" t="s">
        <v>40</v>
      </c>
      <c r="J476" s="16" t="s">
        <v>38</v>
      </c>
      <c r="K476" s="16" t="s">
        <v>293</v>
      </c>
      <c r="L476" s="15">
        <v>-177487.76909784213</v>
      </c>
      <c r="M476" s="15">
        <v>-43754.400000000001</v>
      </c>
      <c r="N476" s="15">
        <v>-114346.56622938419</v>
      </c>
      <c r="O476" s="15">
        <v>-63141.202868457913</v>
      </c>
      <c r="P476" s="15">
        <v>-63141.202868457913</v>
      </c>
      <c r="Q476" s="15">
        <f>P476+P475</f>
        <v>-72308.064593620657</v>
      </c>
      <c r="R476" s="15">
        <v>0</v>
      </c>
      <c r="S476" s="15">
        <f t="shared" si="31"/>
        <v>-72308.064593620657</v>
      </c>
      <c r="T476" s="16"/>
      <c r="U476" s="26"/>
    </row>
    <row r="477" spans="1:21" hidden="1" x14ac:dyDescent="0.25">
      <c r="A477" s="16" t="s">
        <v>37</v>
      </c>
      <c r="B477" s="16" t="s">
        <v>257</v>
      </c>
      <c r="C477" s="16" t="s">
        <v>258</v>
      </c>
      <c r="D477" s="16" t="s">
        <v>214</v>
      </c>
      <c r="E477" s="16" t="s">
        <v>218</v>
      </c>
      <c r="F477" s="16" t="s">
        <v>219</v>
      </c>
      <c r="G477" s="16" t="s">
        <v>220</v>
      </c>
      <c r="H477" s="16" t="s">
        <v>85</v>
      </c>
      <c r="I477" s="16" t="s">
        <v>40</v>
      </c>
      <c r="J477" s="16" t="s">
        <v>221</v>
      </c>
      <c r="K477" s="16" t="s">
        <v>222</v>
      </c>
      <c r="L477" s="15">
        <v>-723550.31</v>
      </c>
      <c r="M477" s="15">
        <v>0</v>
      </c>
      <c r="N477" s="15">
        <v>-78422.67</v>
      </c>
      <c r="O477" s="15">
        <v>-645127.64000000013</v>
      </c>
      <c r="P477" s="15">
        <v>-645127.64000000013</v>
      </c>
      <c r="Q477" s="15">
        <f t="shared" si="30"/>
        <v>-645127.64000000013</v>
      </c>
      <c r="R477" s="15">
        <v>0</v>
      </c>
      <c r="S477" s="15">
        <f t="shared" si="31"/>
        <v>-645127.64000000013</v>
      </c>
      <c r="T477" s="16"/>
      <c r="U477" s="26"/>
    </row>
    <row r="478" spans="1:21" hidden="1" x14ac:dyDescent="0.25">
      <c r="A478" s="16" t="s">
        <v>37</v>
      </c>
      <c r="B478" s="16" t="s">
        <v>257</v>
      </c>
      <c r="C478" s="16" t="s">
        <v>258</v>
      </c>
      <c r="D478" s="16" t="s">
        <v>214</v>
      </c>
      <c r="E478" s="16" t="s">
        <v>218</v>
      </c>
      <c r="F478" s="16" t="s">
        <v>219</v>
      </c>
      <c r="G478" s="16" t="s">
        <v>220</v>
      </c>
      <c r="H478" s="16" t="s">
        <v>85</v>
      </c>
      <c r="I478" s="16" t="s">
        <v>40</v>
      </c>
      <c r="J478" s="16" t="s">
        <v>223</v>
      </c>
      <c r="K478" s="16" t="s">
        <v>224</v>
      </c>
      <c r="L478" s="15">
        <v>-709754.59</v>
      </c>
      <c r="M478" s="15">
        <v>0</v>
      </c>
      <c r="N478" s="15">
        <v>-285974.53999999998</v>
      </c>
      <c r="O478" s="15">
        <v>-423780.05</v>
      </c>
      <c r="P478" s="15">
        <v>-423780.05</v>
      </c>
      <c r="Q478" s="15">
        <f t="shared" si="30"/>
        <v>-423780.05</v>
      </c>
      <c r="R478" s="15">
        <v>0</v>
      </c>
      <c r="S478" s="15">
        <f t="shared" si="31"/>
        <v>-423780.05</v>
      </c>
      <c r="T478" s="16"/>
      <c r="U478" s="26"/>
    </row>
    <row r="479" spans="1:21" hidden="1" x14ac:dyDescent="0.25">
      <c r="A479" s="16" t="s">
        <v>37</v>
      </c>
      <c r="B479" s="16" t="s">
        <v>257</v>
      </c>
      <c r="C479" s="16" t="s">
        <v>258</v>
      </c>
      <c r="D479" s="16" t="s">
        <v>214</v>
      </c>
      <c r="E479" s="16" t="s">
        <v>218</v>
      </c>
      <c r="F479" s="16" t="s">
        <v>219</v>
      </c>
      <c r="G479" s="16" t="s">
        <v>220</v>
      </c>
      <c r="H479" s="16" t="s">
        <v>85</v>
      </c>
      <c r="I479" s="16" t="s">
        <v>40</v>
      </c>
      <c r="J479" s="16" t="s">
        <v>225</v>
      </c>
      <c r="K479" s="16" t="s">
        <v>226</v>
      </c>
      <c r="L479" s="15">
        <v>-985919.54999999993</v>
      </c>
      <c r="M479" s="15">
        <v>-985919.54999999993</v>
      </c>
      <c r="N479" s="15">
        <v>-920899.58</v>
      </c>
      <c r="O479" s="15">
        <v>-65019.969999999972</v>
      </c>
      <c r="P479" s="15">
        <v>0</v>
      </c>
      <c r="Q479" s="15">
        <f t="shared" si="30"/>
        <v>0</v>
      </c>
      <c r="R479" s="15">
        <v>0</v>
      </c>
      <c r="S479" s="15">
        <f t="shared" si="31"/>
        <v>0</v>
      </c>
      <c r="T479" s="16"/>
      <c r="U479" s="26"/>
    </row>
    <row r="480" spans="1:21" hidden="1" x14ac:dyDescent="0.25">
      <c r="A480" s="16" t="s">
        <v>37</v>
      </c>
      <c r="B480" s="16" t="s">
        <v>257</v>
      </c>
      <c r="C480" s="16" t="s">
        <v>258</v>
      </c>
      <c r="D480" s="16" t="s">
        <v>214</v>
      </c>
      <c r="E480" s="16" t="s">
        <v>218</v>
      </c>
      <c r="F480" s="16" t="s">
        <v>219</v>
      </c>
      <c r="G480" s="16" t="s">
        <v>220</v>
      </c>
      <c r="H480" s="16" t="s">
        <v>85</v>
      </c>
      <c r="I480" s="16" t="s">
        <v>40</v>
      </c>
      <c r="J480" s="16" t="s">
        <v>296</v>
      </c>
      <c r="K480" s="16" t="s">
        <v>297</v>
      </c>
      <c r="L480" s="15">
        <v>-65110.199951399991</v>
      </c>
      <c r="M480" s="15">
        <v>0</v>
      </c>
      <c r="N480" s="15">
        <v>-48673.494599999998</v>
      </c>
      <c r="O480" s="15">
        <v>-16436.705351399996</v>
      </c>
      <c r="P480" s="15">
        <v>-16436.705351399996</v>
      </c>
      <c r="Q480" s="15">
        <f t="shared" si="30"/>
        <v>-16436.705351399996</v>
      </c>
      <c r="R480" s="15">
        <v>0</v>
      </c>
      <c r="S480" s="15">
        <f t="shared" si="31"/>
        <v>-16436.705351399996</v>
      </c>
      <c r="T480" s="16"/>
      <c r="U480" s="26"/>
    </row>
    <row r="481" spans="1:21" hidden="1" x14ac:dyDescent="0.25">
      <c r="A481" s="16" t="s">
        <v>37</v>
      </c>
      <c r="B481" s="16" t="s">
        <v>257</v>
      </c>
      <c r="C481" s="16" t="s">
        <v>258</v>
      </c>
      <c r="D481" s="16" t="s">
        <v>214</v>
      </c>
      <c r="E481" s="16" t="s">
        <v>218</v>
      </c>
      <c r="F481" s="16" t="s">
        <v>219</v>
      </c>
      <c r="G481" s="16" t="s">
        <v>220</v>
      </c>
      <c r="H481" s="16" t="s">
        <v>85</v>
      </c>
      <c r="I481" s="16" t="s">
        <v>40</v>
      </c>
      <c r="J481" s="16" t="s">
        <v>298</v>
      </c>
      <c r="K481" s="16" t="s">
        <v>299</v>
      </c>
      <c r="L481" s="15">
        <v>-78.741935483870961</v>
      </c>
      <c r="M481" s="15">
        <v>0</v>
      </c>
      <c r="N481" s="15">
        <v>-26.451493674800002</v>
      </c>
      <c r="O481" s="15">
        <v>-52.290441809070941</v>
      </c>
      <c r="P481" s="15">
        <v>-52.290441809070941</v>
      </c>
      <c r="Q481" s="15">
        <f t="shared" si="30"/>
        <v>-52.290441809070941</v>
      </c>
      <c r="R481" s="15">
        <v>0</v>
      </c>
      <c r="S481" s="15">
        <f t="shared" si="31"/>
        <v>-52.290441809070941</v>
      </c>
      <c r="T481" s="16"/>
      <c r="U481" s="26"/>
    </row>
    <row r="482" spans="1:21" x14ac:dyDescent="0.25">
      <c r="A482" s="16" t="s">
        <v>37</v>
      </c>
      <c r="B482" s="16" t="s">
        <v>269</v>
      </c>
      <c r="C482" s="16" t="s">
        <v>270</v>
      </c>
      <c r="D482" s="16" t="s">
        <v>214</v>
      </c>
      <c r="E482" s="16" t="s">
        <v>218</v>
      </c>
      <c r="F482" s="16" t="s">
        <v>219</v>
      </c>
      <c r="G482" s="16" t="s">
        <v>220</v>
      </c>
      <c r="H482" s="16" t="s">
        <v>85</v>
      </c>
      <c r="I482" s="16" t="s">
        <v>40</v>
      </c>
      <c r="J482" s="16" t="s">
        <v>62</v>
      </c>
      <c r="K482" s="16" t="s">
        <v>63</v>
      </c>
      <c r="L482" s="15">
        <v>-2046.7529999999997</v>
      </c>
      <c r="M482" s="15">
        <v>-2046.7529999999997</v>
      </c>
      <c r="N482" s="15">
        <v>-2046.7499972300038</v>
      </c>
      <c r="O482" s="15">
        <v>-3.0027699957599907E-3</v>
      </c>
      <c r="P482" s="15">
        <v>0</v>
      </c>
      <c r="Q482" s="15">
        <f t="shared" si="30"/>
        <v>0</v>
      </c>
      <c r="R482" s="15">
        <v>0</v>
      </c>
      <c r="S482" s="15">
        <f t="shared" si="31"/>
        <v>0</v>
      </c>
      <c r="T482" s="16"/>
      <c r="U482" s="16"/>
    </row>
    <row r="483" spans="1:21" hidden="1" x14ac:dyDescent="0.25">
      <c r="A483" s="16" t="s">
        <v>37</v>
      </c>
      <c r="B483" s="16" t="s">
        <v>257</v>
      </c>
      <c r="C483" s="16" t="s">
        <v>258</v>
      </c>
      <c r="D483" s="16" t="s">
        <v>214</v>
      </c>
      <c r="E483" s="16" t="s">
        <v>218</v>
      </c>
      <c r="F483" s="16" t="s">
        <v>219</v>
      </c>
      <c r="G483" s="16" t="s">
        <v>220</v>
      </c>
      <c r="H483" s="16" t="s">
        <v>85</v>
      </c>
      <c r="I483" s="16" t="s">
        <v>40</v>
      </c>
      <c r="J483" s="16" t="s">
        <v>227</v>
      </c>
      <c r="K483" s="16" t="s">
        <v>228</v>
      </c>
      <c r="L483" s="15">
        <v>-25859000.0002</v>
      </c>
      <c r="M483" s="15">
        <v>0</v>
      </c>
      <c r="N483" s="15">
        <v>-25856746.48</v>
      </c>
      <c r="O483" s="15">
        <v>-2253.5201999992132</v>
      </c>
      <c r="P483" s="15">
        <v>-2253.5201999992132</v>
      </c>
      <c r="Q483" s="15">
        <v>0</v>
      </c>
      <c r="R483" s="15">
        <v>0</v>
      </c>
      <c r="S483" s="15">
        <f t="shared" si="31"/>
        <v>0</v>
      </c>
      <c r="T483" s="16"/>
      <c r="U483" s="15">
        <f>O483</f>
        <v>-2253.5201999992132</v>
      </c>
    </row>
    <row r="484" spans="1:21" hidden="1" x14ac:dyDescent="0.25">
      <c r="A484" s="16" t="s">
        <v>37</v>
      </c>
      <c r="B484" s="16" t="s">
        <v>271</v>
      </c>
      <c r="C484" s="16" t="s">
        <v>272</v>
      </c>
      <c r="D484" s="16" t="s">
        <v>214</v>
      </c>
      <c r="E484" s="16" t="s">
        <v>218</v>
      </c>
      <c r="F484" s="16" t="s">
        <v>229</v>
      </c>
      <c r="G484" s="16" t="s">
        <v>217</v>
      </c>
      <c r="H484" s="16" t="s">
        <v>85</v>
      </c>
      <c r="I484" s="16" t="s">
        <v>40</v>
      </c>
      <c r="J484" s="16" t="s">
        <v>38</v>
      </c>
      <c r="K484" s="16" t="s">
        <v>293</v>
      </c>
      <c r="L484" s="15">
        <v>-7909936.519989999</v>
      </c>
      <c r="M484" s="15">
        <v>-11617.52</v>
      </c>
      <c r="N484" s="15">
        <v>-3470608.1826999998</v>
      </c>
      <c r="O484" s="15">
        <v>-4439328.3372900002</v>
      </c>
      <c r="P484" s="15">
        <v>-4439328.3372900002</v>
      </c>
      <c r="Q484" s="15">
        <f t="shared" ref="Q484:Q485" si="32">P484</f>
        <v>-4439328.3372900002</v>
      </c>
      <c r="R484" s="15">
        <v>0</v>
      </c>
      <c r="S484" s="15">
        <f t="shared" si="31"/>
        <v>-4439328.3372900002</v>
      </c>
      <c r="T484" s="16"/>
      <c r="U484" s="16"/>
    </row>
    <row r="485" spans="1:21" hidden="1" x14ac:dyDescent="0.25">
      <c r="A485" s="16" t="s">
        <v>37</v>
      </c>
      <c r="B485" s="16" t="s">
        <v>259</v>
      </c>
      <c r="C485" s="16" t="s">
        <v>260</v>
      </c>
      <c r="D485" s="16" t="s">
        <v>214</v>
      </c>
      <c r="E485" s="16" t="s">
        <v>218</v>
      </c>
      <c r="F485" s="16" t="s">
        <v>229</v>
      </c>
      <c r="G485" s="16" t="s">
        <v>217</v>
      </c>
      <c r="H485" s="16" t="s">
        <v>85</v>
      </c>
      <c r="I485" s="16" t="s">
        <v>40</v>
      </c>
      <c r="J485" s="16" t="s">
        <v>38</v>
      </c>
      <c r="K485" s="16" t="s">
        <v>293</v>
      </c>
      <c r="L485" s="15">
        <v>-2722525.4942032788</v>
      </c>
      <c r="M485" s="15">
        <v>0</v>
      </c>
      <c r="N485" s="15">
        <v>-1683822.9491519728</v>
      </c>
      <c r="O485" s="15">
        <v>-1038702.5450513053</v>
      </c>
      <c r="P485" s="15">
        <v>-1038702.5450513053</v>
      </c>
      <c r="Q485" s="15">
        <f t="shared" si="32"/>
        <v>-1038702.5450513053</v>
      </c>
      <c r="R485" s="15">
        <v>0</v>
      </c>
      <c r="S485" s="15">
        <f t="shared" si="31"/>
        <v>-1038702.5450513053</v>
      </c>
      <c r="T485" s="16"/>
      <c r="U485" s="16"/>
    </row>
    <row r="486" spans="1:21" x14ac:dyDescent="0.25">
      <c r="A486" s="16" t="s">
        <v>37</v>
      </c>
      <c r="B486" s="16" t="s">
        <v>269</v>
      </c>
      <c r="C486" s="16" t="s">
        <v>270</v>
      </c>
      <c r="D486" s="16" t="s">
        <v>214</v>
      </c>
      <c r="E486" s="16" t="s">
        <v>218</v>
      </c>
      <c r="F486" s="16" t="s">
        <v>229</v>
      </c>
      <c r="G486" s="16" t="s">
        <v>217</v>
      </c>
      <c r="H486" s="16" t="s">
        <v>85</v>
      </c>
      <c r="I486" s="16" t="s">
        <v>40</v>
      </c>
      <c r="J486" s="16" t="s">
        <v>38</v>
      </c>
      <c r="K486" s="16" t="s">
        <v>293</v>
      </c>
      <c r="L486" s="15">
        <v>-43653.235553377082</v>
      </c>
      <c r="M486" s="15">
        <v>0</v>
      </c>
      <c r="N486" s="15">
        <v>-7155.3392828247024</v>
      </c>
      <c r="O486" s="15">
        <v>-36497.896270552374</v>
      </c>
      <c r="P486" s="15">
        <v>-36497.896270552374</v>
      </c>
      <c r="Q486" s="15">
        <f>P486+36498</f>
        <v>0.10372944762639236</v>
      </c>
      <c r="R486" s="15">
        <v>0</v>
      </c>
      <c r="S486" s="15">
        <f t="shared" si="31"/>
        <v>0.10372944762639236</v>
      </c>
      <c r="T486" s="16"/>
      <c r="U486" s="16"/>
    </row>
    <row r="487" spans="1:21" hidden="1" x14ac:dyDescent="0.25">
      <c r="A487" s="16" t="s">
        <v>37</v>
      </c>
      <c r="B487" s="16" t="s">
        <v>257</v>
      </c>
      <c r="C487" s="16" t="s">
        <v>258</v>
      </c>
      <c r="D487" s="16" t="s">
        <v>214</v>
      </c>
      <c r="E487" s="16" t="s">
        <v>218</v>
      </c>
      <c r="F487" s="16" t="s">
        <v>229</v>
      </c>
      <c r="G487" s="16" t="s">
        <v>217</v>
      </c>
      <c r="H487" s="16" t="s">
        <v>85</v>
      </c>
      <c r="I487" s="16" t="s">
        <v>40</v>
      </c>
      <c r="J487" s="16" t="s">
        <v>38</v>
      </c>
      <c r="K487" s="16" t="s">
        <v>293</v>
      </c>
      <c r="L487" s="15">
        <v>-307007.73201101931</v>
      </c>
      <c r="M487" s="15">
        <v>-49440</v>
      </c>
      <c r="N487" s="15">
        <v>-611848.73498035409</v>
      </c>
      <c r="O487" s="15">
        <v>304841.00296933495</v>
      </c>
      <c r="P487" s="15">
        <f>O487</f>
        <v>304841.00296933495</v>
      </c>
      <c r="Q487" s="15">
        <f>P487+P486</f>
        <v>268343.10669878259</v>
      </c>
      <c r="R487" s="15">
        <v>0</v>
      </c>
      <c r="S487" s="15">
        <f t="shared" si="31"/>
        <v>268343.10669878259</v>
      </c>
      <c r="T487" s="16"/>
      <c r="U487" s="26"/>
    </row>
    <row r="488" spans="1:21" hidden="1" x14ac:dyDescent="0.25">
      <c r="A488" s="16" t="s">
        <v>37</v>
      </c>
      <c r="B488" s="16" t="s">
        <v>257</v>
      </c>
      <c r="C488" s="16" t="s">
        <v>258</v>
      </c>
      <c r="D488" s="16" t="s">
        <v>214</v>
      </c>
      <c r="E488" s="16" t="s">
        <v>218</v>
      </c>
      <c r="F488" s="16" t="s">
        <v>229</v>
      </c>
      <c r="G488" s="16" t="s">
        <v>217</v>
      </c>
      <c r="H488" s="16" t="s">
        <v>85</v>
      </c>
      <c r="I488" s="16" t="s">
        <v>40</v>
      </c>
      <c r="J488" s="16" t="s">
        <v>296</v>
      </c>
      <c r="K488" s="16" t="s">
        <v>297</v>
      </c>
      <c r="L488" s="15">
        <v>-43406.799967599996</v>
      </c>
      <c r="M488" s="15">
        <v>0</v>
      </c>
      <c r="N488" s="15">
        <v>-32448.9964</v>
      </c>
      <c r="O488" s="15">
        <v>-10957.803567600007</v>
      </c>
      <c r="P488" s="15">
        <v>-10957.803567600007</v>
      </c>
      <c r="Q488" s="15">
        <f t="shared" si="30"/>
        <v>-10957.803567600007</v>
      </c>
      <c r="R488" s="15">
        <v>0</v>
      </c>
      <c r="S488" s="15">
        <f t="shared" si="31"/>
        <v>-10957.803567600007</v>
      </c>
      <c r="T488" s="16"/>
      <c r="U488" s="26"/>
    </row>
    <row r="489" spans="1:21" hidden="1" x14ac:dyDescent="0.25">
      <c r="A489" s="16" t="s">
        <v>37</v>
      </c>
      <c r="B489" s="16" t="s">
        <v>259</v>
      </c>
      <c r="C489" s="16" t="s">
        <v>260</v>
      </c>
      <c r="D489" s="16" t="s">
        <v>214</v>
      </c>
      <c r="E489" s="16" t="s">
        <v>218</v>
      </c>
      <c r="F489" s="16" t="s">
        <v>229</v>
      </c>
      <c r="G489" s="16" t="s">
        <v>217</v>
      </c>
      <c r="H489" s="16" t="s">
        <v>85</v>
      </c>
      <c r="I489" s="16" t="s">
        <v>40</v>
      </c>
      <c r="J489" s="16" t="s">
        <v>124</v>
      </c>
      <c r="K489" s="16" t="s">
        <v>125</v>
      </c>
      <c r="L489" s="15">
        <v>0</v>
      </c>
      <c r="M489" s="15">
        <v>0</v>
      </c>
      <c r="N489" s="15">
        <v>3.3466575447960167E-3</v>
      </c>
      <c r="O489" s="15">
        <v>-3.3466575447960167E-3</v>
      </c>
      <c r="P489" s="15">
        <v>0</v>
      </c>
      <c r="Q489" s="15">
        <f t="shared" si="30"/>
        <v>0</v>
      </c>
      <c r="R489" s="15">
        <v>0</v>
      </c>
      <c r="S489" s="15">
        <f t="shared" si="31"/>
        <v>0</v>
      </c>
      <c r="T489" s="16"/>
      <c r="U489" s="16"/>
    </row>
    <row r="490" spans="1:21" hidden="1" x14ac:dyDescent="0.25">
      <c r="A490" s="16" t="s">
        <v>37</v>
      </c>
      <c r="B490" s="16" t="s">
        <v>257</v>
      </c>
      <c r="C490" s="16" t="s">
        <v>258</v>
      </c>
      <c r="D490" s="16" t="s">
        <v>214</v>
      </c>
      <c r="E490" s="16" t="s">
        <v>218</v>
      </c>
      <c r="F490" s="16" t="s">
        <v>229</v>
      </c>
      <c r="G490" s="16" t="s">
        <v>217</v>
      </c>
      <c r="H490" s="16" t="s">
        <v>85</v>
      </c>
      <c r="I490" s="16" t="s">
        <v>40</v>
      </c>
      <c r="J490" s="16" t="s">
        <v>298</v>
      </c>
      <c r="K490" s="16" t="s">
        <v>299</v>
      </c>
      <c r="L490" s="15">
        <v>-78.741935483870961</v>
      </c>
      <c r="M490" s="15">
        <v>0</v>
      </c>
      <c r="N490" s="15">
        <v>-15.9319120748</v>
      </c>
      <c r="O490" s="15">
        <v>-62.810023409070951</v>
      </c>
      <c r="P490" s="15">
        <v>-62.810023409070951</v>
      </c>
      <c r="Q490" s="15">
        <f t="shared" si="30"/>
        <v>-62.810023409070951</v>
      </c>
      <c r="R490" s="15">
        <v>0</v>
      </c>
      <c r="S490" s="15">
        <f t="shared" si="31"/>
        <v>-62.810023409070951</v>
      </c>
      <c r="T490" s="16"/>
      <c r="U490" s="26"/>
    </row>
    <row r="491" spans="1:21" hidden="1" x14ac:dyDescent="0.25">
      <c r="A491" s="16" t="s">
        <v>37</v>
      </c>
      <c r="B491" s="16" t="s">
        <v>271</v>
      </c>
      <c r="C491" s="16" t="s">
        <v>272</v>
      </c>
      <c r="D491" s="16" t="s">
        <v>214</v>
      </c>
      <c r="E491" s="16" t="s">
        <v>218</v>
      </c>
      <c r="F491" s="16" t="s">
        <v>229</v>
      </c>
      <c r="G491" s="16" t="s">
        <v>217</v>
      </c>
      <c r="H491" s="16" t="s">
        <v>85</v>
      </c>
      <c r="I491" s="16" t="s">
        <v>40</v>
      </c>
      <c r="J491" s="16" t="s">
        <v>287</v>
      </c>
      <c r="K491" s="16" t="s">
        <v>288</v>
      </c>
      <c r="L491" s="15">
        <v>-793600</v>
      </c>
      <c r="M491" s="15">
        <v>0</v>
      </c>
      <c r="N491" s="15">
        <v>-540652.51</v>
      </c>
      <c r="O491" s="15">
        <v>-252947.48999999996</v>
      </c>
      <c r="P491" s="15">
        <v>-252947.48999999996</v>
      </c>
      <c r="Q491" s="15">
        <f t="shared" si="30"/>
        <v>-252947.48999999996</v>
      </c>
      <c r="R491" s="15">
        <v>0</v>
      </c>
      <c r="S491" s="15">
        <f t="shared" si="31"/>
        <v>-252947.48999999996</v>
      </c>
      <c r="T491" s="16"/>
      <c r="U491" s="16"/>
    </row>
    <row r="492" spans="1:21" hidden="1" x14ac:dyDescent="0.25">
      <c r="A492" s="16" t="s">
        <v>37</v>
      </c>
      <c r="B492" s="16" t="s">
        <v>259</v>
      </c>
      <c r="C492" s="16" t="s">
        <v>260</v>
      </c>
      <c r="D492" s="16" t="s">
        <v>214</v>
      </c>
      <c r="E492" s="16" t="s">
        <v>218</v>
      </c>
      <c r="F492" s="16" t="s">
        <v>229</v>
      </c>
      <c r="G492" s="16" t="s">
        <v>217</v>
      </c>
      <c r="H492" s="16" t="s">
        <v>85</v>
      </c>
      <c r="I492" s="16" t="s">
        <v>40</v>
      </c>
      <c r="J492" s="16" t="s">
        <v>287</v>
      </c>
      <c r="K492" s="16" t="s">
        <v>288</v>
      </c>
      <c r="L492" s="15">
        <v>-348014.04979999986</v>
      </c>
      <c r="M492" s="15">
        <v>0</v>
      </c>
      <c r="N492" s="15">
        <v>-152055.27009792</v>
      </c>
      <c r="O492" s="15">
        <v>-195958.77970207989</v>
      </c>
      <c r="P492" s="15">
        <v>-195958.77970207989</v>
      </c>
      <c r="Q492" s="15">
        <f t="shared" si="30"/>
        <v>-195958.77970207989</v>
      </c>
      <c r="R492" s="15">
        <v>0</v>
      </c>
      <c r="S492" s="15">
        <f t="shared" si="31"/>
        <v>-195958.77970207989</v>
      </c>
      <c r="T492" s="16"/>
      <c r="U492" s="16"/>
    </row>
    <row r="493" spans="1:21" x14ac:dyDescent="0.25">
      <c r="A493" s="16" t="s">
        <v>37</v>
      </c>
      <c r="B493" s="16" t="s">
        <v>269</v>
      </c>
      <c r="C493" s="16" t="s">
        <v>270</v>
      </c>
      <c r="D493" s="16" t="s">
        <v>214</v>
      </c>
      <c r="E493" s="16" t="s">
        <v>218</v>
      </c>
      <c r="F493" s="16" t="s">
        <v>229</v>
      </c>
      <c r="G493" s="16" t="s">
        <v>217</v>
      </c>
      <c r="H493" s="16" t="s">
        <v>85</v>
      </c>
      <c r="I493" s="16" t="s">
        <v>40</v>
      </c>
      <c r="J493" s="16" t="s">
        <v>62</v>
      </c>
      <c r="K493" s="16" t="s">
        <v>63</v>
      </c>
      <c r="L493" s="15">
        <v>-1529.5229999999997</v>
      </c>
      <c r="M493" s="15">
        <v>-1529.5229999999997</v>
      </c>
      <c r="N493" s="15">
        <v>-1529.5199979300039</v>
      </c>
      <c r="O493" s="15">
        <v>-3.0020699958868136E-3</v>
      </c>
      <c r="P493" s="15">
        <v>0</v>
      </c>
      <c r="Q493" s="15">
        <f t="shared" si="30"/>
        <v>0</v>
      </c>
      <c r="R493" s="15">
        <v>0</v>
      </c>
      <c r="S493" s="15">
        <f t="shared" si="31"/>
        <v>0</v>
      </c>
      <c r="T493" s="16"/>
      <c r="U493" s="16"/>
    </row>
    <row r="494" spans="1:21" hidden="1" x14ac:dyDescent="0.25">
      <c r="A494" s="16" t="s">
        <v>37</v>
      </c>
      <c r="B494" s="16" t="s">
        <v>271</v>
      </c>
      <c r="C494" s="16" t="s">
        <v>272</v>
      </c>
      <c r="D494" s="16" t="s">
        <v>214</v>
      </c>
      <c r="E494" s="16" t="s">
        <v>218</v>
      </c>
      <c r="F494" s="16" t="s">
        <v>229</v>
      </c>
      <c r="G494" s="16" t="s">
        <v>217</v>
      </c>
      <c r="H494" s="16" t="s">
        <v>85</v>
      </c>
      <c r="I494" s="16" t="s">
        <v>40</v>
      </c>
      <c r="J494" s="16" t="s">
        <v>77</v>
      </c>
      <c r="K494" s="16" t="s">
        <v>78</v>
      </c>
      <c r="L494" s="15">
        <v>-3773000</v>
      </c>
      <c r="M494" s="15">
        <v>0</v>
      </c>
      <c r="N494" s="15">
        <v>-3537629.9599999995</v>
      </c>
      <c r="O494" s="15">
        <v>-235370.04000000079</v>
      </c>
      <c r="P494" s="15">
        <v>-235370.04000000079</v>
      </c>
      <c r="Q494" s="15">
        <f t="shared" si="30"/>
        <v>-235370.04000000079</v>
      </c>
      <c r="R494" s="15">
        <v>0</v>
      </c>
      <c r="S494" s="15">
        <f t="shared" si="31"/>
        <v>-235370.04000000079</v>
      </c>
      <c r="T494" s="16"/>
      <c r="U494" s="16"/>
    </row>
    <row r="495" spans="1:21" hidden="1" x14ac:dyDescent="0.25">
      <c r="A495" s="16" t="s">
        <v>37</v>
      </c>
      <c r="B495" s="16" t="s">
        <v>271</v>
      </c>
      <c r="C495" s="16" t="s">
        <v>272</v>
      </c>
      <c r="D495" s="16" t="s">
        <v>214</v>
      </c>
      <c r="E495" s="16" t="s">
        <v>218</v>
      </c>
      <c r="F495" s="16" t="s">
        <v>229</v>
      </c>
      <c r="G495" s="16" t="s">
        <v>217</v>
      </c>
      <c r="H495" s="16" t="s">
        <v>85</v>
      </c>
      <c r="I495" s="16" t="s">
        <v>40</v>
      </c>
      <c r="J495" s="16" t="s">
        <v>79</v>
      </c>
      <c r="K495" s="16" t="s">
        <v>80</v>
      </c>
      <c r="L495" s="15">
        <v>-395999.99998999992</v>
      </c>
      <c r="M495" s="15">
        <v>0</v>
      </c>
      <c r="N495" s="15">
        <v>-196000</v>
      </c>
      <c r="O495" s="15">
        <v>-199999.99998999992</v>
      </c>
      <c r="P495" s="15">
        <v>-199999.99998999992</v>
      </c>
      <c r="Q495" s="15">
        <f t="shared" si="30"/>
        <v>-199999.99998999992</v>
      </c>
      <c r="R495" s="15">
        <v>0</v>
      </c>
      <c r="S495" s="15">
        <f t="shared" si="31"/>
        <v>-199999.99998999992</v>
      </c>
      <c r="T495" s="16"/>
      <c r="U495" s="16"/>
    </row>
    <row r="496" spans="1:21" hidden="1" x14ac:dyDescent="0.25">
      <c r="A496" s="16" t="s">
        <v>37</v>
      </c>
      <c r="B496" s="16" t="s">
        <v>259</v>
      </c>
      <c r="C496" s="16" t="s">
        <v>260</v>
      </c>
      <c r="D496" s="16" t="s">
        <v>214</v>
      </c>
      <c r="E496" s="16" t="s">
        <v>218</v>
      </c>
      <c r="F496" s="16" t="s">
        <v>229</v>
      </c>
      <c r="G496" s="16" t="s">
        <v>217</v>
      </c>
      <c r="H496" s="16" t="s">
        <v>85</v>
      </c>
      <c r="I496" s="16" t="s">
        <v>40</v>
      </c>
      <c r="J496" s="16" t="s">
        <v>79</v>
      </c>
      <c r="K496" s="16" t="s">
        <v>80</v>
      </c>
      <c r="L496" s="15">
        <v>-1193000.0001999999</v>
      </c>
      <c r="M496" s="15">
        <v>0</v>
      </c>
      <c r="N496" s="15">
        <v>-1193000.0001958399</v>
      </c>
      <c r="O496" s="15">
        <v>-4.1598686948418617E-6</v>
      </c>
      <c r="P496" s="15">
        <v>-4.1598686948418617E-6</v>
      </c>
      <c r="Q496" s="15">
        <f t="shared" si="30"/>
        <v>-4.1598686948418617E-6</v>
      </c>
      <c r="R496" s="15">
        <v>0</v>
      </c>
      <c r="S496" s="15">
        <f t="shared" si="31"/>
        <v>-4.1598686948418617E-6</v>
      </c>
      <c r="T496" s="16"/>
      <c r="U496" s="16"/>
    </row>
    <row r="497" spans="1:21" x14ac:dyDescent="0.25">
      <c r="A497" s="16" t="s">
        <v>37</v>
      </c>
      <c r="B497" s="16" t="s">
        <v>269</v>
      </c>
      <c r="C497" s="16" t="s">
        <v>270</v>
      </c>
      <c r="D497" s="16" t="s">
        <v>214</v>
      </c>
      <c r="E497" s="16" t="s">
        <v>218</v>
      </c>
      <c r="F497" s="16" t="s">
        <v>230</v>
      </c>
      <c r="G497" s="16" t="s">
        <v>231</v>
      </c>
      <c r="H497" s="16" t="s">
        <v>85</v>
      </c>
      <c r="I497" s="16" t="s">
        <v>40</v>
      </c>
      <c r="J497" s="16" t="s">
        <v>38</v>
      </c>
      <c r="K497" s="16" t="s">
        <v>293</v>
      </c>
      <c r="L497" s="15">
        <v>-12744.789144154589</v>
      </c>
      <c r="M497" s="15">
        <v>0</v>
      </c>
      <c r="N497" s="15">
        <v>-3910.6746915676777</v>
      </c>
      <c r="O497" s="15">
        <v>-8834.1144525869113</v>
      </c>
      <c r="P497" s="15">
        <v>-8834.1144525869113</v>
      </c>
      <c r="Q497" s="15">
        <f>P497+8834</f>
        <v>-0.11445258691128402</v>
      </c>
      <c r="R497" s="15">
        <v>0</v>
      </c>
      <c r="S497" s="15">
        <f t="shared" si="31"/>
        <v>-0.11445258691128402</v>
      </c>
      <c r="T497" s="16"/>
      <c r="U497" s="16"/>
    </row>
    <row r="498" spans="1:21" hidden="1" x14ac:dyDescent="0.25">
      <c r="A498" s="16" t="s">
        <v>37</v>
      </c>
      <c r="B498" s="16" t="s">
        <v>257</v>
      </c>
      <c r="C498" s="16" t="s">
        <v>258</v>
      </c>
      <c r="D498" s="16" t="s">
        <v>214</v>
      </c>
      <c r="E498" s="16" t="s">
        <v>218</v>
      </c>
      <c r="F498" s="16" t="s">
        <v>230</v>
      </c>
      <c r="G498" s="16" t="s">
        <v>231</v>
      </c>
      <c r="H498" s="16" t="s">
        <v>85</v>
      </c>
      <c r="I498" s="16" t="s">
        <v>40</v>
      </c>
      <c r="J498" s="16" t="s">
        <v>38</v>
      </c>
      <c r="K498" s="16" t="s">
        <v>293</v>
      </c>
      <c r="L498" s="15">
        <v>-5100466.1356400242</v>
      </c>
      <c r="M498" s="15">
        <v>-14955.6</v>
      </c>
      <c r="N498" s="15">
        <v>-5094875.981673494</v>
      </c>
      <c r="O498" s="15">
        <v>-5590.1539665297605</v>
      </c>
      <c r="P498" s="15">
        <v>-5590.1539665297605</v>
      </c>
      <c r="Q498" s="15">
        <f>P498+P497</f>
        <v>-14424.268419116672</v>
      </c>
      <c r="R498" s="15">
        <v>0</v>
      </c>
      <c r="S498" s="15">
        <f t="shared" si="31"/>
        <v>-14424.268419116672</v>
      </c>
      <c r="T498" s="16"/>
      <c r="U498" s="26"/>
    </row>
    <row r="499" spans="1:21" hidden="1" x14ac:dyDescent="0.25">
      <c r="A499" s="16" t="s">
        <v>37</v>
      </c>
      <c r="B499" s="16" t="s">
        <v>257</v>
      </c>
      <c r="C499" s="16" t="s">
        <v>258</v>
      </c>
      <c r="D499" s="16" t="s">
        <v>214</v>
      </c>
      <c r="E499" s="16" t="s">
        <v>218</v>
      </c>
      <c r="F499" s="16" t="s">
        <v>230</v>
      </c>
      <c r="G499" s="16" t="s">
        <v>231</v>
      </c>
      <c r="H499" s="16" t="s">
        <v>85</v>
      </c>
      <c r="I499" s="16" t="s">
        <v>40</v>
      </c>
      <c r="J499" s="16" t="s">
        <v>296</v>
      </c>
      <c r="K499" s="16" t="s">
        <v>297</v>
      </c>
      <c r="L499" s="15">
        <v>-86813.599935200007</v>
      </c>
      <c r="M499" s="15">
        <v>0</v>
      </c>
      <c r="N499" s="15">
        <v>-64897.9928</v>
      </c>
      <c r="O499" s="15">
        <v>-21915.607135200011</v>
      </c>
      <c r="P499" s="15">
        <v>-21915.607135200011</v>
      </c>
      <c r="Q499" s="15">
        <f t="shared" si="30"/>
        <v>-21915.607135200011</v>
      </c>
      <c r="R499" s="15">
        <v>0</v>
      </c>
      <c r="S499" s="15">
        <f t="shared" si="31"/>
        <v>-21915.607135200011</v>
      </c>
      <c r="T499" s="16"/>
      <c r="U499" s="26"/>
    </row>
    <row r="500" spans="1:21" hidden="1" x14ac:dyDescent="0.25">
      <c r="A500" s="16" t="s">
        <v>37</v>
      </c>
      <c r="B500" s="16" t="s">
        <v>257</v>
      </c>
      <c r="C500" s="16" t="s">
        <v>258</v>
      </c>
      <c r="D500" s="16" t="s">
        <v>214</v>
      </c>
      <c r="E500" s="16" t="s">
        <v>218</v>
      </c>
      <c r="F500" s="16" t="s">
        <v>230</v>
      </c>
      <c r="G500" s="16" t="s">
        <v>231</v>
      </c>
      <c r="H500" s="16" t="s">
        <v>85</v>
      </c>
      <c r="I500" s="16" t="s">
        <v>40</v>
      </c>
      <c r="J500" s="16" t="s">
        <v>298</v>
      </c>
      <c r="K500" s="16" t="s">
        <v>299</v>
      </c>
      <c r="L500" s="15">
        <v>-78.741935483870961</v>
      </c>
      <c r="M500" s="15">
        <v>0</v>
      </c>
      <c r="N500" s="15">
        <v>-28.789178474800003</v>
      </c>
      <c r="O500" s="15">
        <v>-49.95275700907095</v>
      </c>
      <c r="P500" s="15">
        <v>-49.95275700907095</v>
      </c>
      <c r="Q500" s="15">
        <f t="shared" si="30"/>
        <v>-49.95275700907095</v>
      </c>
      <c r="R500" s="15">
        <v>0</v>
      </c>
      <c r="S500" s="15">
        <f t="shared" si="31"/>
        <v>-49.95275700907095</v>
      </c>
      <c r="T500" s="16"/>
      <c r="U500" s="26"/>
    </row>
    <row r="501" spans="1:21" x14ac:dyDescent="0.25">
      <c r="A501" s="16" t="s">
        <v>37</v>
      </c>
      <c r="B501" s="16" t="s">
        <v>269</v>
      </c>
      <c r="C501" s="16" t="s">
        <v>270</v>
      </c>
      <c r="D501" s="16" t="s">
        <v>214</v>
      </c>
      <c r="E501" s="16" t="s">
        <v>218</v>
      </c>
      <c r="F501" s="16" t="s">
        <v>230</v>
      </c>
      <c r="G501" s="16" t="s">
        <v>231</v>
      </c>
      <c r="H501" s="16" t="s">
        <v>85</v>
      </c>
      <c r="I501" s="16" t="s">
        <v>40</v>
      </c>
      <c r="J501" s="16" t="s">
        <v>62</v>
      </c>
      <c r="K501" s="16" t="s">
        <v>63</v>
      </c>
      <c r="L501" s="15">
        <v>-1669.9139999999995</v>
      </c>
      <c r="M501" s="15">
        <v>-1669.9139999999995</v>
      </c>
      <c r="N501" s="15">
        <v>-1669.9099977400056</v>
      </c>
      <c r="O501" s="15">
        <v>-4.0022599940527925E-3</v>
      </c>
      <c r="P501" s="15">
        <v>0</v>
      </c>
      <c r="Q501" s="15">
        <f t="shared" si="30"/>
        <v>0</v>
      </c>
      <c r="R501" s="15">
        <v>0</v>
      </c>
      <c r="S501" s="15">
        <f t="shared" si="31"/>
        <v>0</v>
      </c>
      <c r="T501" s="16"/>
      <c r="U501" s="16"/>
    </row>
    <row r="502" spans="1:21" hidden="1" x14ac:dyDescent="0.25">
      <c r="A502" s="16" t="s">
        <v>37</v>
      </c>
      <c r="B502" s="16" t="s">
        <v>259</v>
      </c>
      <c r="C502" s="16" t="s">
        <v>260</v>
      </c>
      <c r="D502" s="16" t="s">
        <v>214</v>
      </c>
      <c r="E502" s="16" t="s">
        <v>218</v>
      </c>
      <c r="F502" s="16" t="s">
        <v>232</v>
      </c>
      <c r="G502" s="16" t="s">
        <v>233</v>
      </c>
      <c r="H502" s="16" t="s">
        <v>85</v>
      </c>
      <c r="I502" s="16" t="s">
        <v>40</v>
      </c>
      <c r="J502" s="16" t="s">
        <v>38</v>
      </c>
      <c r="K502" s="16" t="s">
        <v>293</v>
      </c>
      <c r="L502" s="15">
        <v>-24447993.793295871</v>
      </c>
      <c r="M502" s="15">
        <v>0</v>
      </c>
      <c r="N502" s="15">
        <v>-23342987.15313419</v>
      </c>
      <c r="O502" s="15">
        <v>-1105006.6401616763</v>
      </c>
      <c r="P502" s="15">
        <v>-1105006.6401616763</v>
      </c>
      <c r="Q502" s="15">
        <f t="shared" ref="Q502" si="33">P502</f>
        <v>-1105006.6401616763</v>
      </c>
      <c r="R502" s="15">
        <v>0</v>
      </c>
      <c r="S502" s="15">
        <f t="shared" si="31"/>
        <v>-1105006.6401616763</v>
      </c>
      <c r="T502" s="16"/>
      <c r="U502" s="16"/>
    </row>
    <row r="503" spans="1:21" x14ac:dyDescent="0.25">
      <c r="A503" s="16" t="s">
        <v>37</v>
      </c>
      <c r="B503" s="16" t="s">
        <v>269</v>
      </c>
      <c r="C503" s="16" t="s">
        <v>270</v>
      </c>
      <c r="D503" s="16" t="s">
        <v>214</v>
      </c>
      <c r="E503" s="16" t="s">
        <v>218</v>
      </c>
      <c r="F503" s="16" t="s">
        <v>232</v>
      </c>
      <c r="G503" s="16" t="s">
        <v>233</v>
      </c>
      <c r="H503" s="16" t="s">
        <v>85</v>
      </c>
      <c r="I503" s="16" t="s">
        <v>40</v>
      </c>
      <c r="J503" s="16" t="s">
        <v>38</v>
      </c>
      <c r="K503" s="16" t="s">
        <v>293</v>
      </c>
      <c r="L503" s="15">
        <v>-30705.219013653092</v>
      </c>
      <c r="M503" s="15">
        <v>0</v>
      </c>
      <c r="N503" s="15">
        <v>-6882.1043698767435</v>
      </c>
      <c r="O503" s="15">
        <v>-23823.114643776353</v>
      </c>
      <c r="P503" s="15">
        <v>-23823.114643776353</v>
      </c>
      <c r="Q503" s="15">
        <f>P503+23823</f>
        <v>-0.11464377635275014</v>
      </c>
      <c r="R503" s="15">
        <v>0</v>
      </c>
      <c r="S503" s="15">
        <f t="shared" si="31"/>
        <v>-0.11464377635275014</v>
      </c>
      <c r="T503" s="16"/>
      <c r="U503" s="16"/>
    </row>
    <row r="504" spans="1:21" hidden="1" x14ac:dyDescent="0.25">
      <c r="A504" s="16" t="s">
        <v>37</v>
      </c>
      <c r="B504" s="16" t="s">
        <v>257</v>
      </c>
      <c r="C504" s="16" t="s">
        <v>258</v>
      </c>
      <c r="D504" s="16" t="s">
        <v>214</v>
      </c>
      <c r="E504" s="16" t="s">
        <v>218</v>
      </c>
      <c r="F504" s="16" t="s">
        <v>232</v>
      </c>
      <c r="G504" s="16" t="s">
        <v>233</v>
      </c>
      <c r="H504" s="16" t="s">
        <v>85</v>
      </c>
      <c r="I504" s="16" t="s">
        <v>40</v>
      </c>
      <c r="J504" s="16" t="s">
        <v>38</v>
      </c>
      <c r="K504" s="16" t="s">
        <v>293</v>
      </c>
      <c r="L504" s="15">
        <v>-136859.45761489525</v>
      </c>
      <c r="M504" s="15">
        <v>-50552.4</v>
      </c>
      <c r="N504" s="15">
        <v>-37827.462656574193</v>
      </c>
      <c r="O504" s="15">
        <v>-99031.99495832104</v>
      </c>
      <c r="P504" s="15">
        <f>O504</f>
        <v>-99031.99495832104</v>
      </c>
      <c r="Q504" s="15">
        <f>P504+P503</f>
        <v>-122855.10960209739</v>
      </c>
      <c r="R504" s="15">
        <v>0</v>
      </c>
      <c r="S504" s="15">
        <f t="shared" si="31"/>
        <v>-122855.10960209739</v>
      </c>
      <c r="T504" s="16"/>
      <c r="U504" s="26"/>
    </row>
    <row r="505" spans="1:21" hidden="1" x14ac:dyDescent="0.25">
      <c r="A505" s="16" t="s">
        <v>37</v>
      </c>
      <c r="B505" s="16" t="s">
        <v>257</v>
      </c>
      <c r="C505" s="16" t="s">
        <v>258</v>
      </c>
      <c r="D505" s="16" t="s">
        <v>214</v>
      </c>
      <c r="E505" s="16" t="s">
        <v>218</v>
      </c>
      <c r="F505" s="16" t="s">
        <v>232</v>
      </c>
      <c r="G505" s="16" t="s">
        <v>233</v>
      </c>
      <c r="H505" s="16" t="s">
        <v>85</v>
      </c>
      <c r="I505" s="16" t="s">
        <v>40</v>
      </c>
      <c r="J505" s="16" t="s">
        <v>234</v>
      </c>
      <c r="K505" s="16" t="s">
        <v>235</v>
      </c>
      <c r="L505" s="15">
        <v>-4506619.9999900004</v>
      </c>
      <c r="M505" s="15">
        <v>0</v>
      </c>
      <c r="N505" s="15">
        <v>-4506620.0000000009</v>
      </c>
      <c r="O505" s="15">
        <v>1.0001007467508316E-5</v>
      </c>
      <c r="P505" s="15">
        <v>0</v>
      </c>
      <c r="Q505" s="15">
        <f t="shared" si="30"/>
        <v>0</v>
      </c>
      <c r="R505" s="15">
        <v>0</v>
      </c>
      <c r="S505" s="15">
        <f t="shared" si="31"/>
        <v>0</v>
      </c>
      <c r="T505" s="16"/>
      <c r="U505" s="26"/>
    </row>
    <row r="506" spans="1:21" hidden="1" x14ac:dyDescent="0.25">
      <c r="A506" s="16" t="s">
        <v>37</v>
      </c>
      <c r="B506" s="16" t="s">
        <v>257</v>
      </c>
      <c r="C506" s="16" t="s">
        <v>258</v>
      </c>
      <c r="D506" s="16" t="s">
        <v>214</v>
      </c>
      <c r="E506" s="16" t="s">
        <v>218</v>
      </c>
      <c r="F506" s="16" t="s">
        <v>232</v>
      </c>
      <c r="G506" s="16" t="s">
        <v>233</v>
      </c>
      <c r="H506" s="16" t="s">
        <v>85</v>
      </c>
      <c r="I506" s="16" t="s">
        <v>40</v>
      </c>
      <c r="J506" s="16" t="s">
        <v>236</v>
      </c>
      <c r="K506" s="16" t="s">
        <v>237</v>
      </c>
      <c r="L506" s="15">
        <v>-700000</v>
      </c>
      <c r="M506" s="15">
        <v>0</v>
      </c>
      <c r="N506" s="15">
        <v>-153132.4</v>
      </c>
      <c r="O506" s="15">
        <v>-546867.6</v>
      </c>
      <c r="P506" s="15">
        <v>-546867.6</v>
      </c>
      <c r="Q506" s="15">
        <f t="shared" si="30"/>
        <v>-546867.6</v>
      </c>
      <c r="R506" s="15">
        <v>0</v>
      </c>
      <c r="S506" s="15">
        <f t="shared" si="31"/>
        <v>-546867.6</v>
      </c>
      <c r="T506" s="16"/>
      <c r="U506" s="26"/>
    </row>
    <row r="507" spans="1:21" hidden="1" x14ac:dyDescent="0.25">
      <c r="A507" s="16" t="s">
        <v>37</v>
      </c>
      <c r="B507" s="16" t="s">
        <v>257</v>
      </c>
      <c r="C507" s="16" t="s">
        <v>258</v>
      </c>
      <c r="D507" s="16" t="s">
        <v>214</v>
      </c>
      <c r="E507" s="16" t="s">
        <v>218</v>
      </c>
      <c r="F507" s="16" t="s">
        <v>232</v>
      </c>
      <c r="G507" s="16" t="s">
        <v>233</v>
      </c>
      <c r="H507" s="16" t="s">
        <v>85</v>
      </c>
      <c r="I507" s="16" t="s">
        <v>40</v>
      </c>
      <c r="J507" s="16" t="s">
        <v>296</v>
      </c>
      <c r="K507" s="16" t="s">
        <v>297</v>
      </c>
      <c r="L507" s="15">
        <v>-54258.499959500012</v>
      </c>
      <c r="M507" s="15">
        <v>0</v>
      </c>
      <c r="N507" s="15">
        <v>-40561.245499999997</v>
      </c>
      <c r="O507" s="15">
        <v>-13697.254459500014</v>
      </c>
      <c r="P507" s="15">
        <v>-13697.254459500014</v>
      </c>
      <c r="Q507" s="15">
        <f t="shared" si="30"/>
        <v>-13697.254459500014</v>
      </c>
      <c r="R507" s="15">
        <v>0</v>
      </c>
      <c r="S507" s="15">
        <f t="shared" si="31"/>
        <v>-13697.254459500014</v>
      </c>
      <c r="T507" s="16"/>
      <c r="U507" s="26"/>
    </row>
    <row r="508" spans="1:21" hidden="1" x14ac:dyDescent="0.25">
      <c r="A508" s="16" t="s">
        <v>37</v>
      </c>
      <c r="B508" s="16" t="s">
        <v>259</v>
      </c>
      <c r="C508" s="16" t="s">
        <v>260</v>
      </c>
      <c r="D508" s="16" t="s">
        <v>214</v>
      </c>
      <c r="E508" s="16" t="s">
        <v>218</v>
      </c>
      <c r="F508" s="16" t="s">
        <v>232</v>
      </c>
      <c r="G508" s="16" t="s">
        <v>233</v>
      </c>
      <c r="H508" s="16" t="s">
        <v>85</v>
      </c>
      <c r="I508" s="16" t="s">
        <v>40</v>
      </c>
      <c r="J508" s="16" t="s">
        <v>124</v>
      </c>
      <c r="K508" s="16" t="s">
        <v>125</v>
      </c>
      <c r="L508" s="15">
        <v>-14011.732042559999</v>
      </c>
      <c r="M508" s="15">
        <v>0</v>
      </c>
      <c r="N508" s="15">
        <v>-13716.133920533637</v>
      </c>
      <c r="O508" s="15">
        <v>-295.59812202636112</v>
      </c>
      <c r="P508" s="15">
        <v>0</v>
      </c>
      <c r="Q508" s="15">
        <f t="shared" si="30"/>
        <v>0</v>
      </c>
      <c r="R508" s="15">
        <v>0</v>
      </c>
      <c r="S508" s="15">
        <f t="shared" si="31"/>
        <v>0</v>
      </c>
      <c r="T508" s="16"/>
      <c r="U508" s="16"/>
    </row>
    <row r="509" spans="1:21" hidden="1" x14ac:dyDescent="0.25">
      <c r="A509" s="16" t="s">
        <v>37</v>
      </c>
      <c r="B509" s="16" t="s">
        <v>257</v>
      </c>
      <c r="C509" s="16" t="s">
        <v>258</v>
      </c>
      <c r="D509" s="16" t="s">
        <v>214</v>
      </c>
      <c r="E509" s="16" t="s">
        <v>218</v>
      </c>
      <c r="F509" s="16" t="s">
        <v>232</v>
      </c>
      <c r="G509" s="16" t="s">
        <v>233</v>
      </c>
      <c r="H509" s="16" t="s">
        <v>85</v>
      </c>
      <c r="I509" s="16" t="s">
        <v>40</v>
      </c>
      <c r="J509" s="16" t="s">
        <v>298</v>
      </c>
      <c r="K509" s="16" t="s">
        <v>299</v>
      </c>
      <c r="L509" s="15">
        <v>-78.741935483870961</v>
      </c>
      <c r="M509" s="15">
        <v>0</v>
      </c>
      <c r="N509" s="15">
        <v>-28.9645048348</v>
      </c>
      <c r="O509" s="15">
        <v>-49.777430649070965</v>
      </c>
      <c r="P509" s="15">
        <v>-49.777430649070965</v>
      </c>
      <c r="Q509" s="15">
        <f t="shared" si="30"/>
        <v>-49.777430649070965</v>
      </c>
      <c r="R509" s="15">
        <v>0</v>
      </c>
      <c r="S509" s="15">
        <f t="shared" si="31"/>
        <v>-49.777430649070965</v>
      </c>
      <c r="T509" s="16"/>
      <c r="U509" s="26"/>
    </row>
    <row r="510" spans="1:21" hidden="1" x14ac:dyDescent="0.25">
      <c r="A510" s="16" t="s">
        <v>37</v>
      </c>
      <c r="B510" s="16" t="s">
        <v>257</v>
      </c>
      <c r="C510" s="16" t="s">
        <v>258</v>
      </c>
      <c r="D510" s="16" t="s">
        <v>214</v>
      </c>
      <c r="E510" s="16" t="s">
        <v>218</v>
      </c>
      <c r="F510" s="16" t="s">
        <v>232</v>
      </c>
      <c r="G510" s="16" t="s">
        <v>233</v>
      </c>
      <c r="H510" s="16" t="s">
        <v>85</v>
      </c>
      <c r="I510" s="16" t="s">
        <v>40</v>
      </c>
      <c r="J510" s="16" t="s">
        <v>304</v>
      </c>
      <c r="K510" s="16" t="s">
        <v>305</v>
      </c>
      <c r="L510" s="15">
        <v>-3090923.16</v>
      </c>
      <c r="M510" s="15">
        <v>-3090923.16</v>
      </c>
      <c r="N510" s="15">
        <v>-2808077.7198999999</v>
      </c>
      <c r="O510" s="15">
        <v>-282845.44010000024</v>
      </c>
      <c r="P510" s="15">
        <f>O510</f>
        <v>-282845.44010000024</v>
      </c>
      <c r="Q510" s="15">
        <f t="shared" si="30"/>
        <v>-282845.44010000024</v>
      </c>
      <c r="R510" s="15">
        <v>0</v>
      </c>
      <c r="S510" s="15">
        <f t="shared" si="31"/>
        <v>-282845.44010000024</v>
      </c>
      <c r="T510" s="16"/>
      <c r="U510" s="26"/>
    </row>
    <row r="511" spans="1:21" x14ac:dyDescent="0.25">
      <c r="A511" s="16" t="s">
        <v>37</v>
      </c>
      <c r="B511" s="16" t="s">
        <v>269</v>
      </c>
      <c r="C511" s="16" t="s">
        <v>270</v>
      </c>
      <c r="D511" s="16" t="s">
        <v>214</v>
      </c>
      <c r="E511" s="16" t="s">
        <v>218</v>
      </c>
      <c r="F511" s="16" t="s">
        <v>232</v>
      </c>
      <c r="G511" s="16" t="s">
        <v>233</v>
      </c>
      <c r="H511" s="16" t="s">
        <v>85</v>
      </c>
      <c r="I511" s="16" t="s">
        <v>40</v>
      </c>
      <c r="J511" s="16" t="s">
        <v>62</v>
      </c>
      <c r="K511" s="16" t="s">
        <v>63</v>
      </c>
      <c r="L511" s="15">
        <v>-2297.9789999999998</v>
      </c>
      <c r="M511" s="15">
        <v>-2297.9789999999998</v>
      </c>
      <c r="N511" s="15">
        <v>-2297.9899968899849</v>
      </c>
      <c r="O511" s="15">
        <v>1.0996889985108282E-2</v>
      </c>
      <c r="P511" s="15">
        <v>0</v>
      </c>
      <c r="Q511" s="15">
        <f t="shared" si="30"/>
        <v>0</v>
      </c>
      <c r="R511" s="15">
        <v>0</v>
      </c>
      <c r="S511" s="15">
        <f t="shared" si="31"/>
        <v>0</v>
      </c>
      <c r="T511" s="16"/>
      <c r="U511" s="16"/>
    </row>
    <row r="512" spans="1:21" x14ac:dyDescent="0.25">
      <c r="A512" s="16" t="s">
        <v>37</v>
      </c>
      <c r="B512" s="16" t="s">
        <v>269</v>
      </c>
      <c r="C512" s="16" t="s">
        <v>270</v>
      </c>
      <c r="D512" s="16" t="s">
        <v>214</v>
      </c>
      <c r="E512" s="16" t="s">
        <v>218</v>
      </c>
      <c r="F512" s="16" t="s">
        <v>238</v>
      </c>
      <c r="G512" s="16" t="s">
        <v>239</v>
      </c>
      <c r="H512" s="16" t="s">
        <v>85</v>
      </c>
      <c r="I512" s="16" t="s">
        <v>40</v>
      </c>
      <c r="J512" s="16" t="s">
        <v>38</v>
      </c>
      <c r="K512" s="16" t="s">
        <v>293</v>
      </c>
      <c r="L512" s="15">
        <v>-14033.706608860088</v>
      </c>
      <c r="M512" s="15">
        <v>0</v>
      </c>
      <c r="N512" s="15">
        <v>-6677.1781851657734</v>
      </c>
      <c r="O512" s="15">
        <v>-7356.5284236943126</v>
      </c>
      <c r="P512" s="15">
        <v>-7356.5284236943126</v>
      </c>
      <c r="Q512" s="15">
        <f>P512+7357</f>
        <v>0.47157630568744935</v>
      </c>
      <c r="R512" s="15">
        <v>0</v>
      </c>
      <c r="S512" s="15">
        <f t="shared" si="31"/>
        <v>0.47157630568744935</v>
      </c>
      <c r="T512" s="16"/>
      <c r="U512" s="16"/>
    </row>
    <row r="513" spans="1:21" hidden="1" x14ac:dyDescent="0.25">
      <c r="A513" s="16" t="s">
        <v>37</v>
      </c>
      <c r="B513" s="16" t="s">
        <v>257</v>
      </c>
      <c r="C513" s="16" t="s">
        <v>258</v>
      </c>
      <c r="D513" s="16" t="s">
        <v>214</v>
      </c>
      <c r="E513" s="16" t="s">
        <v>218</v>
      </c>
      <c r="F513" s="16" t="s">
        <v>238</v>
      </c>
      <c r="G513" s="16" t="s">
        <v>239</v>
      </c>
      <c r="H513" s="16" t="s">
        <v>85</v>
      </c>
      <c r="I513" s="16" t="s">
        <v>40</v>
      </c>
      <c r="J513" s="16" t="s">
        <v>38</v>
      </c>
      <c r="K513" s="16" t="s">
        <v>293</v>
      </c>
      <c r="L513" s="15">
        <v>-133684.56495063478</v>
      </c>
      <c r="M513" s="15">
        <v>-44619.6</v>
      </c>
      <c r="N513" s="15">
        <v>-138395.71812751418</v>
      </c>
      <c r="O513" s="15">
        <v>4711.1531768794157</v>
      </c>
      <c r="P513" s="15">
        <f>O513</f>
        <v>4711.1531768794157</v>
      </c>
      <c r="Q513" s="15">
        <f>P513+P512</f>
        <v>-2645.3752468148969</v>
      </c>
      <c r="R513" s="15">
        <v>0</v>
      </c>
      <c r="S513" s="15">
        <f t="shared" si="31"/>
        <v>-2645.3752468148969</v>
      </c>
      <c r="T513" s="16"/>
      <c r="U513" s="26"/>
    </row>
    <row r="514" spans="1:21" hidden="1" x14ac:dyDescent="0.25">
      <c r="A514" s="16" t="s">
        <v>37</v>
      </c>
      <c r="B514" s="16" t="s">
        <v>257</v>
      </c>
      <c r="C514" s="16" t="s">
        <v>258</v>
      </c>
      <c r="D514" s="16" t="s">
        <v>214</v>
      </c>
      <c r="E514" s="16" t="s">
        <v>218</v>
      </c>
      <c r="F514" s="16" t="s">
        <v>238</v>
      </c>
      <c r="G514" s="16" t="s">
        <v>239</v>
      </c>
      <c r="H514" s="16" t="s">
        <v>85</v>
      </c>
      <c r="I514" s="16" t="s">
        <v>40</v>
      </c>
      <c r="J514" s="16" t="s">
        <v>298</v>
      </c>
      <c r="K514" s="16" t="s">
        <v>299</v>
      </c>
      <c r="L514" s="15">
        <v>-78.741935483870961</v>
      </c>
      <c r="M514" s="15">
        <v>0</v>
      </c>
      <c r="N514" s="15">
        <v>-24.639787954799999</v>
      </c>
      <c r="O514" s="15">
        <v>-54.102147529070962</v>
      </c>
      <c r="P514" s="15">
        <v>-54.102147529070962</v>
      </c>
      <c r="Q514" s="15">
        <f t="shared" si="30"/>
        <v>-54.102147529070962</v>
      </c>
      <c r="R514" s="15">
        <v>0</v>
      </c>
      <c r="S514" s="15">
        <f t="shared" si="31"/>
        <v>-54.102147529070962</v>
      </c>
      <c r="T514" s="16"/>
      <c r="U514" s="26"/>
    </row>
    <row r="515" spans="1:21" x14ac:dyDescent="0.25">
      <c r="A515" s="16" t="s">
        <v>37</v>
      </c>
      <c r="B515" s="16" t="s">
        <v>269</v>
      </c>
      <c r="C515" s="16" t="s">
        <v>270</v>
      </c>
      <c r="D515" s="16" t="s">
        <v>214</v>
      </c>
      <c r="E515" s="16" t="s">
        <v>218</v>
      </c>
      <c r="F515" s="16" t="s">
        <v>238</v>
      </c>
      <c r="G515" s="16" t="s">
        <v>239</v>
      </c>
      <c r="H515" s="16" t="s">
        <v>85</v>
      </c>
      <c r="I515" s="16" t="s">
        <v>40</v>
      </c>
      <c r="J515" s="16" t="s">
        <v>62</v>
      </c>
      <c r="K515" s="16" t="s">
        <v>63</v>
      </c>
      <c r="L515" s="15">
        <v>-1706.8589999999999</v>
      </c>
      <c r="M515" s="15">
        <v>-1706.8589999999999</v>
      </c>
      <c r="N515" s="15">
        <v>-1706.8599976899984</v>
      </c>
      <c r="O515" s="15">
        <v>9.9768999848492967E-4</v>
      </c>
      <c r="P515" s="15">
        <v>0</v>
      </c>
      <c r="Q515" s="15">
        <f t="shared" si="30"/>
        <v>0</v>
      </c>
      <c r="R515" s="15">
        <v>0</v>
      </c>
      <c r="S515" s="15">
        <f t="shared" si="31"/>
        <v>0</v>
      </c>
      <c r="T515" s="16"/>
      <c r="U515" s="16"/>
    </row>
    <row r="516" spans="1:21" hidden="1" x14ac:dyDescent="0.25">
      <c r="A516" s="16" t="s">
        <v>37</v>
      </c>
      <c r="B516" s="16" t="s">
        <v>259</v>
      </c>
      <c r="C516" s="16" t="s">
        <v>260</v>
      </c>
      <c r="D516" s="16" t="s">
        <v>214</v>
      </c>
      <c r="E516" s="16" t="s">
        <v>218</v>
      </c>
      <c r="F516" s="16" t="s">
        <v>240</v>
      </c>
      <c r="G516" s="16" t="s">
        <v>241</v>
      </c>
      <c r="H516" s="16" t="s">
        <v>85</v>
      </c>
      <c r="I516" s="16" t="s">
        <v>40</v>
      </c>
      <c r="J516" s="16" t="s">
        <v>38</v>
      </c>
      <c r="K516" s="16" t="s">
        <v>293</v>
      </c>
      <c r="L516" s="15">
        <v>-13090506.88347877</v>
      </c>
      <c r="M516" s="15">
        <v>0</v>
      </c>
      <c r="N516" s="15">
        <v>-13092916.718667392</v>
      </c>
      <c r="O516" s="15">
        <v>2409.8351886468008</v>
      </c>
      <c r="P516" s="15">
        <f>O516</f>
        <v>2409.8351886468008</v>
      </c>
      <c r="Q516" s="15">
        <f t="shared" ref="Q516" si="34">P516</f>
        <v>2409.8351886468008</v>
      </c>
      <c r="R516" s="15">
        <v>0</v>
      </c>
      <c r="S516" s="15">
        <f t="shared" si="31"/>
        <v>2409.8351886468008</v>
      </c>
      <c r="T516" s="16"/>
      <c r="U516" s="16"/>
    </row>
    <row r="517" spans="1:21" x14ac:dyDescent="0.25">
      <c r="A517" s="16" t="s">
        <v>37</v>
      </c>
      <c r="B517" s="16" t="s">
        <v>269</v>
      </c>
      <c r="C517" s="16" t="s">
        <v>270</v>
      </c>
      <c r="D517" s="16" t="s">
        <v>214</v>
      </c>
      <c r="E517" s="16" t="s">
        <v>218</v>
      </c>
      <c r="F517" s="16" t="s">
        <v>240</v>
      </c>
      <c r="G517" s="16" t="s">
        <v>241</v>
      </c>
      <c r="H517" s="16" t="s">
        <v>85</v>
      </c>
      <c r="I517" s="16" t="s">
        <v>40</v>
      </c>
      <c r="J517" s="16" t="s">
        <v>38</v>
      </c>
      <c r="K517" s="16" t="s">
        <v>293</v>
      </c>
      <c r="L517" s="15">
        <v>-88735.864445567277</v>
      </c>
      <c r="M517" s="15">
        <v>0</v>
      </c>
      <c r="N517" s="15">
        <v>-20475.541289037752</v>
      </c>
      <c r="O517" s="15">
        <v>-68260.323156529514</v>
      </c>
      <c r="P517" s="15">
        <v>-68260.323156529514</v>
      </c>
      <c r="Q517" s="15">
        <f>P517+68260</f>
        <v>-0.32315652951365337</v>
      </c>
      <c r="R517" s="15">
        <v>0</v>
      </c>
      <c r="S517" s="15">
        <f t="shared" si="31"/>
        <v>-0.32315652951365337</v>
      </c>
      <c r="T517" s="16"/>
      <c r="U517" s="16"/>
    </row>
    <row r="518" spans="1:21" hidden="1" x14ac:dyDescent="0.25">
      <c r="A518" s="16" t="s">
        <v>37</v>
      </c>
      <c r="B518" s="16" t="s">
        <v>257</v>
      </c>
      <c r="C518" s="16" t="s">
        <v>258</v>
      </c>
      <c r="D518" s="16" t="s">
        <v>214</v>
      </c>
      <c r="E518" s="16" t="s">
        <v>218</v>
      </c>
      <c r="F518" s="16" t="s">
        <v>240</v>
      </c>
      <c r="G518" s="16" t="s">
        <v>241</v>
      </c>
      <c r="H518" s="16" t="s">
        <v>85</v>
      </c>
      <c r="I518" s="16" t="s">
        <v>40</v>
      </c>
      <c r="J518" s="16" t="s">
        <v>38</v>
      </c>
      <c r="K518" s="16" t="s">
        <v>293</v>
      </c>
      <c r="L518" s="15">
        <v>-336607.88039521681</v>
      </c>
      <c r="M518" s="15">
        <v>-38439.599999999999</v>
      </c>
      <c r="N518" s="15">
        <v>-507511.85923715006</v>
      </c>
      <c r="O518" s="15">
        <v>170903.97884193313</v>
      </c>
      <c r="P518" s="15">
        <f>O518</f>
        <v>170903.97884193313</v>
      </c>
      <c r="Q518" s="15">
        <f>P518+P517</f>
        <v>102643.65568540362</v>
      </c>
      <c r="R518" s="15">
        <v>0</v>
      </c>
      <c r="S518" s="15">
        <f t="shared" si="31"/>
        <v>102643.65568540362</v>
      </c>
      <c r="T518" s="16"/>
      <c r="U518" s="26"/>
    </row>
    <row r="519" spans="1:21" hidden="1" x14ac:dyDescent="0.25">
      <c r="A519" s="16" t="s">
        <v>37</v>
      </c>
      <c r="B519" s="16" t="s">
        <v>257</v>
      </c>
      <c r="C519" s="16" t="s">
        <v>258</v>
      </c>
      <c r="D519" s="16" t="s">
        <v>214</v>
      </c>
      <c r="E519" s="16" t="s">
        <v>218</v>
      </c>
      <c r="F519" s="16" t="s">
        <v>240</v>
      </c>
      <c r="G519" s="16" t="s">
        <v>241</v>
      </c>
      <c r="H519" s="16" t="s">
        <v>85</v>
      </c>
      <c r="I519" s="16" t="s">
        <v>40</v>
      </c>
      <c r="J519" s="16" t="s">
        <v>296</v>
      </c>
      <c r="K519" s="16" t="s">
        <v>297</v>
      </c>
      <c r="L519" s="15">
        <v>-835580.89937630005</v>
      </c>
      <c r="M519" s="15">
        <v>0</v>
      </c>
      <c r="N519" s="15">
        <v>-624643.18070000003</v>
      </c>
      <c r="O519" s="15">
        <v>-210937.71867630002</v>
      </c>
      <c r="P519" s="15">
        <v>-210937.71867630002</v>
      </c>
      <c r="Q519" s="15">
        <f t="shared" si="30"/>
        <v>-210937.71867630002</v>
      </c>
      <c r="R519" s="15">
        <v>0</v>
      </c>
      <c r="S519" s="15">
        <f t="shared" si="31"/>
        <v>-210937.71867630002</v>
      </c>
      <c r="T519" s="16"/>
      <c r="U519" s="26"/>
    </row>
    <row r="520" spans="1:21" hidden="1" x14ac:dyDescent="0.25">
      <c r="A520" s="16" t="s">
        <v>37</v>
      </c>
      <c r="B520" s="16" t="s">
        <v>259</v>
      </c>
      <c r="C520" s="16" t="s">
        <v>260</v>
      </c>
      <c r="D520" s="16" t="s">
        <v>214</v>
      </c>
      <c r="E520" s="16" t="s">
        <v>218</v>
      </c>
      <c r="F520" s="16" t="s">
        <v>240</v>
      </c>
      <c r="G520" s="16" t="s">
        <v>241</v>
      </c>
      <c r="H520" s="16" t="s">
        <v>85</v>
      </c>
      <c r="I520" s="16" t="s">
        <v>40</v>
      </c>
      <c r="J520" s="16" t="s">
        <v>124</v>
      </c>
      <c r="K520" s="16" t="s">
        <v>125</v>
      </c>
      <c r="L520" s="15">
        <v>-29971.459079519998</v>
      </c>
      <c r="M520" s="15">
        <v>0</v>
      </c>
      <c r="N520" s="15">
        <v>-24973.061045146875</v>
      </c>
      <c r="O520" s="15">
        <v>-4998.3980343731328</v>
      </c>
      <c r="P520" s="15">
        <v>0</v>
      </c>
      <c r="Q520" s="15">
        <f t="shared" si="30"/>
        <v>0</v>
      </c>
      <c r="R520" s="15">
        <v>0</v>
      </c>
      <c r="S520" s="15">
        <f t="shared" si="31"/>
        <v>0</v>
      </c>
      <c r="T520" s="16"/>
      <c r="U520" s="16"/>
    </row>
    <row r="521" spans="1:21" hidden="1" x14ac:dyDescent="0.25">
      <c r="A521" s="16" t="s">
        <v>37</v>
      </c>
      <c r="B521" s="16" t="s">
        <v>257</v>
      </c>
      <c r="C521" s="16" t="s">
        <v>258</v>
      </c>
      <c r="D521" s="16" t="s">
        <v>214</v>
      </c>
      <c r="E521" s="16" t="s">
        <v>218</v>
      </c>
      <c r="F521" s="16" t="s">
        <v>240</v>
      </c>
      <c r="G521" s="16" t="s">
        <v>241</v>
      </c>
      <c r="H521" s="16" t="s">
        <v>85</v>
      </c>
      <c r="I521" s="16" t="s">
        <v>40</v>
      </c>
      <c r="J521" s="16" t="s">
        <v>298</v>
      </c>
      <c r="K521" s="16" t="s">
        <v>299</v>
      </c>
      <c r="L521" s="15">
        <v>0</v>
      </c>
      <c r="M521" s="15">
        <v>0</v>
      </c>
      <c r="N521" s="15">
        <v>23.055416340000001</v>
      </c>
      <c r="O521" s="15">
        <v>-23.055416340000001</v>
      </c>
      <c r="P521" s="15">
        <f>O521</f>
        <v>-23.055416340000001</v>
      </c>
      <c r="Q521" s="15">
        <f t="shared" si="30"/>
        <v>-23.055416340000001</v>
      </c>
      <c r="R521" s="15">
        <v>0</v>
      </c>
      <c r="S521" s="15">
        <f t="shared" si="31"/>
        <v>-23.055416340000001</v>
      </c>
      <c r="T521" s="16"/>
      <c r="U521" s="26"/>
    </row>
    <row r="522" spans="1:21" hidden="1" x14ac:dyDescent="0.25">
      <c r="A522" s="16" t="s">
        <v>37</v>
      </c>
      <c r="B522" s="16" t="s">
        <v>259</v>
      </c>
      <c r="C522" s="16" t="s">
        <v>260</v>
      </c>
      <c r="D522" s="16" t="s">
        <v>214</v>
      </c>
      <c r="E522" s="16" t="s">
        <v>218</v>
      </c>
      <c r="F522" s="16" t="s">
        <v>240</v>
      </c>
      <c r="G522" s="16" t="s">
        <v>241</v>
      </c>
      <c r="H522" s="16" t="s">
        <v>85</v>
      </c>
      <c r="I522" s="16" t="s">
        <v>40</v>
      </c>
      <c r="J522" s="16" t="s">
        <v>287</v>
      </c>
      <c r="K522" s="16" t="s">
        <v>288</v>
      </c>
      <c r="L522" s="15">
        <v>0</v>
      </c>
      <c r="M522" s="15">
        <v>0</v>
      </c>
      <c r="N522" s="15">
        <v>-9.2000016593374312E-5</v>
      </c>
      <c r="O522" s="15">
        <v>9.2000016593374312E-5</v>
      </c>
      <c r="P522" s="15">
        <v>0</v>
      </c>
      <c r="Q522" s="15">
        <f t="shared" si="30"/>
        <v>0</v>
      </c>
      <c r="R522" s="15">
        <v>0</v>
      </c>
      <c r="S522" s="15">
        <f t="shared" si="31"/>
        <v>0</v>
      </c>
      <c r="T522" s="16"/>
      <c r="U522" s="16"/>
    </row>
    <row r="523" spans="1:21" x14ac:dyDescent="0.25">
      <c r="A523" s="16" t="s">
        <v>37</v>
      </c>
      <c r="B523" s="16" t="s">
        <v>269</v>
      </c>
      <c r="C523" s="16" t="s">
        <v>270</v>
      </c>
      <c r="D523" s="16" t="s">
        <v>214</v>
      </c>
      <c r="E523" s="16" t="s">
        <v>218</v>
      </c>
      <c r="F523" s="16" t="s">
        <v>240</v>
      </c>
      <c r="G523" s="16" t="s">
        <v>241</v>
      </c>
      <c r="H523" s="16" t="s">
        <v>85</v>
      </c>
      <c r="I523" s="16" t="s">
        <v>40</v>
      </c>
      <c r="J523" s="16" t="s">
        <v>62</v>
      </c>
      <c r="K523" s="16" t="s">
        <v>63</v>
      </c>
      <c r="L523" s="15">
        <v>-4418.6220000000012</v>
      </c>
      <c r="M523" s="15">
        <v>-4418.6220000000012</v>
      </c>
      <c r="N523" s="15">
        <v>-4418.6199940200022</v>
      </c>
      <c r="O523" s="15">
        <v>-2.00597999855745E-3</v>
      </c>
      <c r="P523" s="15">
        <v>0</v>
      </c>
      <c r="Q523" s="15">
        <f t="shared" si="30"/>
        <v>0</v>
      </c>
      <c r="R523" s="15">
        <v>0</v>
      </c>
      <c r="S523" s="15">
        <f t="shared" si="31"/>
        <v>0</v>
      </c>
      <c r="T523" s="16"/>
      <c r="U523" s="16"/>
    </row>
    <row r="524" spans="1:21" hidden="1" x14ac:dyDescent="0.25">
      <c r="A524" s="16" t="s">
        <v>37</v>
      </c>
      <c r="B524" s="16" t="s">
        <v>259</v>
      </c>
      <c r="C524" s="16" t="s">
        <v>260</v>
      </c>
      <c r="D524" s="16" t="s">
        <v>214</v>
      </c>
      <c r="E524" s="16" t="s">
        <v>218</v>
      </c>
      <c r="F524" s="16" t="s">
        <v>240</v>
      </c>
      <c r="G524" s="16" t="s">
        <v>241</v>
      </c>
      <c r="H524" s="16" t="s">
        <v>85</v>
      </c>
      <c r="I524" s="16" t="s">
        <v>40</v>
      </c>
      <c r="J524" s="16" t="s">
        <v>79</v>
      </c>
      <c r="K524" s="16" t="s">
        <v>80</v>
      </c>
      <c r="L524" s="15">
        <v>0</v>
      </c>
      <c r="M524" s="15">
        <v>0</v>
      </c>
      <c r="N524" s="15">
        <v>9.9999975645914674E-5</v>
      </c>
      <c r="O524" s="15">
        <v>-9.9999975645914674E-5</v>
      </c>
      <c r="P524" s="15">
        <v>0</v>
      </c>
      <c r="Q524" s="15">
        <f t="shared" ref="Q524:Q530" si="35">P524-R524</f>
        <v>0</v>
      </c>
      <c r="R524" s="15">
        <v>0</v>
      </c>
      <c r="S524" s="15">
        <f t="shared" ref="S524:S530" si="36">SUM(Q524:R524)</f>
        <v>0</v>
      </c>
      <c r="T524" s="16"/>
      <c r="U524" s="16"/>
    </row>
    <row r="525" spans="1:21" hidden="1" x14ac:dyDescent="0.25">
      <c r="A525" s="16" t="s">
        <v>37</v>
      </c>
      <c r="B525" s="16" t="s">
        <v>259</v>
      </c>
      <c r="C525" s="16" t="s">
        <v>260</v>
      </c>
      <c r="D525" s="16" t="s">
        <v>214</v>
      </c>
      <c r="E525" s="16" t="s">
        <v>218</v>
      </c>
      <c r="F525" s="16" t="s">
        <v>242</v>
      </c>
      <c r="G525" s="16" t="s">
        <v>243</v>
      </c>
      <c r="H525" s="16" t="s">
        <v>85</v>
      </c>
      <c r="I525" s="16" t="s">
        <v>40</v>
      </c>
      <c r="J525" s="16" t="s">
        <v>38</v>
      </c>
      <c r="K525" s="16" t="s">
        <v>293</v>
      </c>
      <c r="L525" s="15">
        <v>-2092538.0586509956</v>
      </c>
      <c r="M525" s="15">
        <v>0</v>
      </c>
      <c r="N525" s="15">
        <v>-2092585.951246741</v>
      </c>
      <c r="O525" s="15">
        <v>47.892595745623112</v>
      </c>
      <c r="P525" s="15">
        <f>O525</f>
        <v>47.892595745623112</v>
      </c>
      <c r="Q525" s="15">
        <f t="shared" si="35"/>
        <v>47.892595745623112</v>
      </c>
      <c r="R525" s="15">
        <v>0</v>
      </c>
      <c r="S525" s="15">
        <f t="shared" si="36"/>
        <v>47.892595745623112</v>
      </c>
      <c r="T525" s="16"/>
      <c r="U525" s="16"/>
    </row>
    <row r="526" spans="1:21" x14ac:dyDescent="0.25">
      <c r="A526" s="16" t="s">
        <v>37</v>
      </c>
      <c r="B526" s="16" t="s">
        <v>269</v>
      </c>
      <c r="C526" s="16" t="s">
        <v>270</v>
      </c>
      <c r="D526" s="16" t="s">
        <v>214</v>
      </c>
      <c r="E526" s="16" t="s">
        <v>218</v>
      </c>
      <c r="F526" s="16" t="s">
        <v>242</v>
      </c>
      <c r="G526" s="16" t="s">
        <v>243</v>
      </c>
      <c r="H526" s="16" t="s">
        <v>85</v>
      </c>
      <c r="I526" s="16" t="s">
        <v>40</v>
      </c>
      <c r="J526" s="16" t="s">
        <v>38</v>
      </c>
      <c r="K526" s="16" t="s">
        <v>293</v>
      </c>
      <c r="L526" s="15">
        <v>-9263.4632755975017</v>
      </c>
      <c r="M526" s="15">
        <v>0</v>
      </c>
      <c r="N526" s="15">
        <v>-11783.255620880776</v>
      </c>
      <c r="O526" s="15">
        <v>2519.7923452832747</v>
      </c>
      <c r="P526" s="15">
        <f>O526</f>
        <v>2519.7923452832747</v>
      </c>
      <c r="Q526" s="15">
        <f>P526-R526-2520</f>
        <v>-0.20765471672530111</v>
      </c>
      <c r="R526" s="15">
        <v>0</v>
      </c>
      <c r="S526" s="15">
        <f t="shared" si="36"/>
        <v>-0.20765471672530111</v>
      </c>
      <c r="T526" s="16"/>
      <c r="U526" s="16"/>
    </row>
    <row r="527" spans="1:21" hidden="1" x14ac:dyDescent="0.25">
      <c r="A527" s="16" t="s">
        <v>37</v>
      </c>
      <c r="B527" s="16" t="s">
        <v>257</v>
      </c>
      <c r="C527" s="16" t="s">
        <v>258</v>
      </c>
      <c r="D527" s="16" t="s">
        <v>214</v>
      </c>
      <c r="E527" s="16" t="s">
        <v>218</v>
      </c>
      <c r="F527" s="16" t="s">
        <v>242</v>
      </c>
      <c r="G527" s="16" t="s">
        <v>243</v>
      </c>
      <c r="H527" s="16" t="s">
        <v>85</v>
      </c>
      <c r="I527" s="16" t="s">
        <v>40</v>
      </c>
      <c r="J527" s="16" t="s">
        <v>38</v>
      </c>
      <c r="K527" s="16" t="s">
        <v>293</v>
      </c>
      <c r="L527" s="15">
        <v>-234914.9875381671</v>
      </c>
      <c r="M527" s="15">
        <v>-67238.400000000009</v>
      </c>
      <c r="N527" s="15">
        <v>-176191.80162801995</v>
      </c>
      <c r="O527" s="15">
        <v>-58723.18591014712</v>
      </c>
      <c r="P527" s="15">
        <v>-58723.18591014712</v>
      </c>
      <c r="Q527" s="15">
        <f>P527-R527+P526</f>
        <v>-56203.393564863843</v>
      </c>
      <c r="R527" s="15">
        <v>0</v>
      </c>
      <c r="S527" s="15">
        <f t="shared" si="36"/>
        <v>-56203.393564863843</v>
      </c>
      <c r="T527" s="16"/>
      <c r="U527" s="26"/>
    </row>
    <row r="528" spans="1:21" hidden="1" x14ac:dyDescent="0.25">
      <c r="A528" s="16" t="s">
        <v>37</v>
      </c>
      <c r="B528" s="16" t="s">
        <v>259</v>
      </c>
      <c r="C528" s="16" t="s">
        <v>260</v>
      </c>
      <c r="D528" s="16" t="s">
        <v>214</v>
      </c>
      <c r="E528" s="16" t="s">
        <v>218</v>
      </c>
      <c r="F528" s="16" t="s">
        <v>242</v>
      </c>
      <c r="G528" s="16" t="s">
        <v>243</v>
      </c>
      <c r="H528" s="16" t="s">
        <v>85</v>
      </c>
      <c r="I528" s="16" t="s">
        <v>40</v>
      </c>
      <c r="J528" s="16" t="s">
        <v>124</v>
      </c>
      <c r="K528" s="16" t="s">
        <v>125</v>
      </c>
      <c r="L528" s="15">
        <v>-4044.29887792</v>
      </c>
      <c r="M528" s="15">
        <v>0</v>
      </c>
      <c r="N528" s="15">
        <v>-2791.575045953191</v>
      </c>
      <c r="O528" s="15">
        <v>-1252.7238319668088</v>
      </c>
      <c r="P528" s="15">
        <v>0</v>
      </c>
      <c r="Q528" s="15">
        <f t="shared" si="35"/>
        <v>0</v>
      </c>
      <c r="R528" s="15">
        <v>0</v>
      </c>
      <c r="S528" s="15">
        <f t="shared" si="36"/>
        <v>0</v>
      </c>
      <c r="T528" s="16"/>
      <c r="U528" s="16"/>
    </row>
    <row r="529" spans="1:21" hidden="1" x14ac:dyDescent="0.25">
      <c r="A529" s="16" t="s">
        <v>37</v>
      </c>
      <c r="B529" s="16" t="s">
        <v>257</v>
      </c>
      <c r="C529" s="16" t="s">
        <v>258</v>
      </c>
      <c r="D529" s="16" t="s">
        <v>214</v>
      </c>
      <c r="E529" s="16" t="s">
        <v>218</v>
      </c>
      <c r="F529" s="16" t="s">
        <v>242</v>
      </c>
      <c r="G529" s="16" t="s">
        <v>243</v>
      </c>
      <c r="H529" s="16" t="s">
        <v>85</v>
      </c>
      <c r="I529" s="16" t="s">
        <v>40</v>
      </c>
      <c r="J529" s="16" t="s">
        <v>298</v>
      </c>
      <c r="K529" s="16" t="s">
        <v>299</v>
      </c>
      <c r="L529" s="15">
        <v>0</v>
      </c>
      <c r="M529" s="15">
        <v>0</v>
      </c>
      <c r="N529" s="15">
        <v>8.9416443600000015</v>
      </c>
      <c r="O529" s="15">
        <v>-8.9416443600000015</v>
      </c>
      <c r="P529" s="15">
        <f>O529</f>
        <v>-8.9416443600000015</v>
      </c>
      <c r="Q529" s="15">
        <f t="shared" si="35"/>
        <v>-8.9416443600000015</v>
      </c>
      <c r="R529" s="15">
        <v>0</v>
      </c>
      <c r="S529" s="15">
        <f t="shared" si="36"/>
        <v>-8.9416443600000015</v>
      </c>
      <c r="T529" s="16"/>
      <c r="U529" s="26"/>
    </row>
    <row r="530" spans="1:21" x14ac:dyDescent="0.25">
      <c r="A530" s="16" t="s">
        <v>37</v>
      </c>
      <c r="B530" s="16" t="s">
        <v>269</v>
      </c>
      <c r="C530" s="16" t="s">
        <v>270</v>
      </c>
      <c r="D530" s="16" t="s">
        <v>214</v>
      </c>
      <c r="E530" s="16" t="s">
        <v>218</v>
      </c>
      <c r="F530" s="16" t="s">
        <v>242</v>
      </c>
      <c r="G530" s="16" t="s">
        <v>243</v>
      </c>
      <c r="H530" s="16" t="s">
        <v>85</v>
      </c>
      <c r="I530" s="16" t="s">
        <v>40</v>
      </c>
      <c r="J530" s="16" t="s">
        <v>62</v>
      </c>
      <c r="K530" s="16" t="s">
        <v>63</v>
      </c>
      <c r="L530" s="15">
        <v>-3546.7200000000003</v>
      </c>
      <c r="M530" s="15">
        <v>-3546.7200000000003</v>
      </c>
      <c r="N530" s="15">
        <v>-3546.7199951999992</v>
      </c>
      <c r="O530" s="15">
        <v>-4.8000003971537808E-6</v>
      </c>
      <c r="P530" s="15">
        <v>0</v>
      </c>
      <c r="Q530" s="15">
        <f t="shared" si="35"/>
        <v>0</v>
      </c>
      <c r="R530" s="15">
        <v>0</v>
      </c>
      <c r="S530" s="15">
        <f t="shared" si="36"/>
        <v>0</v>
      </c>
      <c r="T530" s="16"/>
      <c r="U530" s="16"/>
    </row>
    <row r="533" spans="1:21" x14ac:dyDescent="0.25">
      <c r="F533" s="34" t="s">
        <v>309</v>
      </c>
      <c r="G533" s="33" t="s">
        <v>308</v>
      </c>
      <c r="H533" s="16" t="s">
        <v>64</v>
      </c>
      <c r="L533" s="34">
        <v>1000000</v>
      </c>
      <c r="M533" s="15">
        <v>70000</v>
      </c>
      <c r="N533" t="s">
        <v>311</v>
      </c>
      <c r="O533" s="15">
        <v>100000</v>
      </c>
    </row>
    <row r="534" spans="1:21" x14ac:dyDescent="0.25">
      <c r="F534" t="s">
        <v>310</v>
      </c>
      <c r="G534" s="33" t="s">
        <v>308</v>
      </c>
      <c r="H534" s="16" t="s">
        <v>64</v>
      </c>
      <c r="L534">
        <v>5000</v>
      </c>
      <c r="M534" s="15">
        <v>30000</v>
      </c>
      <c r="N534" t="s">
        <v>312</v>
      </c>
    </row>
    <row r="535" spans="1:21" x14ac:dyDescent="0.25">
      <c r="M535" s="15">
        <v>900000</v>
      </c>
      <c r="N535" t="s">
        <v>313</v>
      </c>
      <c r="O535" t="s">
        <v>314</v>
      </c>
    </row>
  </sheetData>
  <autoFilter ref="A8:AF530" xr:uid="{E9DD0CE9-A8C6-4775-B1B0-F812D448031E}">
    <filterColumn colId="2">
      <filters>
        <filter val="Keskkonnaministeeriumi Infotehnoloogiakeskus"/>
      </filters>
    </filterColumn>
  </autoFilter>
  <mergeCells count="3">
    <mergeCell ref="L7:P7"/>
    <mergeCell ref="Q7:S7"/>
    <mergeCell ref="T7:U7"/>
  </mergeCells>
  <hyperlinks>
    <hyperlink ref="G533" r:id="rId1" xr:uid="{440421B5-4E57-4335-9F91-D5FDC42C1DF0}"/>
    <hyperlink ref="G534" r:id="rId2" xr:uid="{73155C24-47C3-49C1-9152-0E7BD595B3A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F1C08-C4B2-4CCF-B56A-2022A76CEA3B}">
  <dimension ref="A1:W523"/>
  <sheetViews>
    <sheetView topLeftCell="C1" zoomScale="90" zoomScaleNormal="90" workbookViewId="0">
      <selection activeCell="L19" sqref="L19"/>
    </sheetView>
  </sheetViews>
  <sheetFormatPr defaultRowHeight="15" x14ac:dyDescent="0.25"/>
  <cols>
    <col min="1" max="1" width="11.140625" customWidth="1"/>
    <col min="2" max="2" width="8.140625" customWidth="1"/>
    <col min="3" max="3" width="21.85546875" customWidth="1"/>
    <col min="4" max="4" width="15.5703125" customWidth="1"/>
    <col min="5" max="5" width="13.5703125" customWidth="1"/>
    <col min="6" max="6" width="12.42578125" customWidth="1"/>
    <col min="7" max="7" width="20.7109375" customWidth="1"/>
    <col min="8" max="8" width="21" customWidth="1"/>
    <col min="9" max="9" width="9" customWidth="1"/>
    <col min="11" max="11" width="15.28515625" customWidth="1"/>
    <col min="12" max="12" width="16" customWidth="1"/>
    <col min="13" max="13" width="13.140625" customWidth="1"/>
    <col min="14" max="14" width="14.140625" customWidth="1"/>
    <col min="15" max="15" width="13.28515625" customWidth="1"/>
    <col min="16" max="16" width="13" customWidth="1"/>
    <col min="17" max="17" width="11.42578125" customWidth="1"/>
    <col min="18" max="18" width="9.28515625" bestFit="1" customWidth="1"/>
    <col min="19" max="19" width="16.28515625" customWidth="1"/>
    <col min="20" max="20" width="14.7109375" customWidth="1"/>
    <col min="21" max="21" width="14.42578125" style="27" customWidth="1"/>
  </cols>
  <sheetData>
    <row r="1" spans="1:21" ht="83.25" customHeight="1" thickBot="1" x14ac:dyDescent="0.3">
      <c r="A1" s="6" t="s">
        <v>8</v>
      </c>
      <c r="B1" s="6" t="s">
        <v>255</v>
      </c>
      <c r="C1" s="6" t="s">
        <v>256</v>
      </c>
      <c r="D1" s="7" t="s">
        <v>9</v>
      </c>
      <c r="E1" s="8" t="s">
        <v>10</v>
      </c>
      <c r="F1" s="8" t="s">
        <v>11</v>
      </c>
      <c r="G1" s="8" t="s">
        <v>12</v>
      </c>
      <c r="H1" s="7" t="s">
        <v>13</v>
      </c>
      <c r="I1" s="7" t="s">
        <v>14</v>
      </c>
      <c r="J1" s="7" t="s">
        <v>15</v>
      </c>
      <c r="K1" s="7" t="s">
        <v>16</v>
      </c>
      <c r="L1" s="9" t="s">
        <v>17</v>
      </c>
      <c r="M1" s="10" t="s">
        <v>18</v>
      </c>
      <c r="N1" s="10" t="s">
        <v>19</v>
      </c>
      <c r="O1" s="10" t="s">
        <v>20</v>
      </c>
      <c r="P1" s="11" t="s">
        <v>21</v>
      </c>
      <c r="Q1" s="12" t="s">
        <v>22</v>
      </c>
      <c r="R1" s="12" t="s">
        <v>23</v>
      </c>
      <c r="S1" s="12" t="s">
        <v>24</v>
      </c>
      <c r="T1" s="13" t="s">
        <v>25</v>
      </c>
      <c r="U1" s="25" t="s">
        <v>26</v>
      </c>
    </row>
    <row r="2" spans="1:21" x14ac:dyDescent="0.25">
      <c r="A2" s="16" t="s">
        <v>37</v>
      </c>
      <c r="B2" s="16" t="s">
        <v>257</v>
      </c>
      <c r="C2" s="16" t="s">
        <v>258</v>
      </c>
      <c r="D2" s="16" t="s">
        <v>38</v>
      </c>
      <c r="E2" s="16" t="s">
        <v>38</v>
      </c>
      <c r="F2" s="16" t="s">
        <v>38</v>
      </c>
      <c r="G2" s="16" t="s">
        <v>38</v>
      </c>
      <c r="H2" s="16" t="s">
        <v>39</v>
      </c>
      <c r="I2" s="16" t="s">
        <v>40</v>
      </c>
      <c r="J2" s="16" t="s">
        <v>38</v>
      </c>
      <c r="K2" s="16" t="s">
        <v>293</v>
      </c>
      <c r="L2" s="15">
        <v>-3000000</v>
      </c>
      <c r="M2" s="15">
        <v>0</v>
      </c>
      <c r="N2" s="15">
        <v>0</v>
      </c>
      <c r="O2" s="15">
        <v>-3000000</v>
      </c>
      <c r="P2" s="15">
        <v>-3000000</v>
      </c>
      <c r="Q2" s="15">
        <f>P2-R2</f>
        <v>-3000000</v>
      </c>
      <c r="R2" s="15">
        <v>0</v>
      </c>
      <c r="S2" s="15">
        <f>SUM(Q2:R2)</f>
        <v>-3000000</v>
      </c>
      <c r="T2" s="16"/>
      <c r="U2" s="26"/>
    </row>
    <row r="3" spans="1:21" x14ac:dyDescent="0.25">
      <c r="A3" s="16" t="s">
        <v>37</v>
      </c>
      <c r="B3" s="16" t="s">
        <v>257</v>
      </c>
      <c r="C3" s="16" t="s">
        <v>258</v>
      </c>
      <c r="D3" s="16" t="s">
        <v>38</v>
      </c>
      <c r="E3" s="16" t="s">
        <v>38</v>
      </c>
      <c r="F3" s="16" t="s">
        <v>38</v>
      </c>
      <c r="G3" s="16" t="s">
        <v>38</v>
      </c>
      <c r="H3" s="16" t="s">
        <v>39</v>
      </c>
      <c r="I3" s="16" t="s">
        <v>40</v>
      </c>
      <c r="J3" s="16" t="s">
        <v>291</v>
      </c>
      <c r="K3" s="16" t="s">
        <v>292</v>
      </c>
      <c r="L3" s="15">
        <v>-800000</v>
      </c>
      <c r="M3" s="15">
        <v>0</v>
      </c>
      <c r="N3" s="15">
        <v>0</v>
      </c>
      <c r="O3" s="15">
        <v>-800000</v>
      </c>
      <c r="P3" s="15">
        <v>-800000</v>
      </c>
      <c r="Q3" s="15">
        <f t="shared" ref="Q3:Q68" si="0">P3-R3</f>
        <v>-800000</v>
      </c>
      <c r="R3" s="15">
        <v>0</v>
      </c>
      <c r="S3" s="15">
        <f t="shared" ref="S3:S68" si="1">SUM(Q3:R3)</f>
        <v>-800000</v>
      </c>
      <c r="T3" s="16"/>
      <c r="U3" s="26"/>
    </row>
    <row r="4" spans="1:21" x14ac:dyDescent="0.25">
      <c r="A4" s="16" t="s">
        <v>37</v>
      </c>
      <c r="B4" s="16" t="s">
        <v>259</v>
      </c>
      <c r="C4" s="16" t="s">
        <v>260</v>
      </c>
      <c r="D4" s="16" t="s">
        <v>38</v>
      </c>
      <c r="E4" s="16" t="s">
        <v>38</v>
      </c>
      <c r="F4" s="16" t="s">
        <v>38</v>
      </c>
      <c r="G4" s="16" t="s">
        <v>38</v>
      </c>
      <c r="H4" s="16" t="s">
        <v>41</v>
      </c>
      <c r="I4" s="16" t="s">
        <v>40</v>
      </c>
      <c r="J4" s="16" t="s">
        <v>279</v>
      </c>
      <c r="K4" s="16" t="s">
        <v>280</v>
      </c>
      <c r="L4" s="15">
        <v>-22512.409989999996</v>
      </c>
      <c r="M4" s="15">
        <v>-22512.41</v>
      </c>
      <c r="N4" s="15">
        <v>-22499.989999999998</v>
      </c>
      <c r="O4" s="15">
        <v>-12.41998999999123</v>
      </c>
      <c r="P4" s="15">
        <v>0</v>
      </c>
      <c r="Q4" s="15">
        <f t="shared" si="0"/>
        <v>0</v>
      </c>
      <c r="R4" s="15">
        <v>0</v>
      </c>
      <c r="S4" s="15">
        <f t="shared" si="1"/>
        <v>0</v>
      </c>
      <c r="T4" s="16"/>
      <c r="U4" s="16"/>
    </row>
    <row r="5" spans="1:21" x14ac:dyDescent="0.25">
      <c r="A5" s="16" t="s">
        <v>37</v>
      </c>
      <c r="B5" s="16" t="s">
        <v>259</v>
      </c>
      <c r="C5" s="16" t="s">
        <v>260</v>
      </c>
      <c r="D5" s="16" t="s">
        <v>38</v>
      </c>
      <c r="E5" s="16" t="s">
        <v>38</v>
      </c>
      <c r="F5" s="16" t="s">
        <v>38</v>
      </c>
      <c r="G5" s="16" t="s">
        <v>38</v>
      </c>
      <c r="H5" s="16" t="s">
        <v>41</v>
      </c>
      <c r="I5" s="16" t="s">
        <v>40</v>
      </c>
      <c r="J5" s="16" t="s">
        <v>281</v>
      </c>
      <c r="K5" s="16" t="s">
        <v>282</v>
      </c>
      <c r="L5" s="15">
        <v>-1306844.4399899999</v>
      </c>
      <c r="M5" s="15">
        <v>0</v>
      </c>
      <c r="N5" s="15">
        <v>-645979.85960000008</v>
      </c>
      <c r="O5" s="15">
        <v>-660864.58039000002</v>
      </c>
      <c r="P5" s="20">
        <f>-660864.58039+O4</f>
        <v>-660877.00037999998</v>
      </c>
      <c r="Q5" s="15">
        <f t="shared" si="0"/>
        <v>-660877.00037999998</v>
      </c>
      <c r="R5" s="15">
        <v>0</v>
      </c>
      <c r="S5" s="15">
        <f t="shared" si="1"/>
        <v>-660877.00037999998</v>
      </c>
      <c r="T5" s="16"/>
      <c r="U5" s="16"/>
    </row>
    <row r="6" spans="1:21" x14ac:dyDescent="0.25">
      <c r="A6" s="16" t="s">
        <v>37</v>
      </c>
      <c r="B6" s="16" t="s">
        <v>267</v>
      </c>
      <c r="C6" s="16" t="s">
        <v>268</v>
      </c>
      <c r="D6" s="16" t="s">
        <v>38</v>
      </c>
      <c r="E6" s="16" t="s">
        <v>38</v>
      </c>
      <c r="F6" s="16" t="s">
        <v>38</v>
      </c>
      <c r="G6" s="16" t="s">
        <v>38</v>
      </c>
      <c r="H6" s="16" t="s">
        <v>41</v>
      </c>
      <c r="I6" s="16" t="s">
        <v>40</v>
      </c>
      <c r="J6" s="16" t="s">
        <v>281</v>
      </c>
      <c r="K6" s="16" t="s">
        <v>282</v>
      </c>
      <c r="L6" s="15">
        <v>-120000</v>
      </c>
      <c r="M6" s="15">
        <v>-120000</v>
      </c>
      <c r="N6" s="15">
        <v>-13100</v>
      </c>
      <c r="O6" s="15">
        <v>-106900</v>
      </c>
      <c r="P6" s="15">
        <f>O6</f>
        <v>-106900</v>
      </c>
      <c r="Q6" s="15">
        <f t="shared" si="0"/>
        <v>-106900</v>
      </c>
      <c r="R6" s="15">
        <v>0</v>
      </c>
      <c r="S6" s="15">
        <f t="shared" si="1"/>
        <v>-106900</v>
      </c>
      <c r="T6" s="16"/>
      <c r="U6" s="16"/>
    </row>
    <row r="7" spans="1:21" x14ac:dyDescent="0.25">
      <c r="A7" s="16" t="s">
        <v>37</v>
      </c>
      <c r="B7" s="16" t="s">
        <v>269</v>
      </c>
      <c r="C7" s="16" t="s">
        <v>270</v>
      </c>
      <c r="D7" s="16" t="s">
        <v>38</v>
      </c>
      <c r="E7" s="16" t="s">
        <v>38</v>
      </c>
      <c r="F7" s="16" t="s">
        <v>38</v>
      </c>
      <c r="G7" s="16" t="s">
        <v>38</v>
      </c>
      <c r="H7" s="16" t="s">
        <v>41</v>
      </c>
      <c r="I7" s="16" t="s">
        <v>40</v>
      </c>
      <c r="J7" s="16" t="s">
        <v>281</v>
      </c>
      <c r="K7" s="16" t="s">
        <v>282</v>
      </c>
      <c r="L7" s="15">
        <v>-4494568.8699900005</v>
      </c>
      <c r="M7" s="15">
        <v>-1636458.87</v>
      </c>
      <c r="N7" s="15">
        <v>-2700751.7297999999</v>
      </c>
      <c r="O7" s="15">
        <v>-1793817.1401899997</v>
      </c>
      <c r="P7" s="15">
        <v>-1793817.1401899997</v>
      </c>
      <c r="Q7" s="15">
        <f t="shared" si="0"/>
        <v>-1793817.1401899997</v>
      </c>
      <c r="R7" s="15">
        <v>0</v>
      </c>
      <c r="S7" s="15">
        <f t="shared" si="1"/>
        <v>-1793817.1401899997</v>
      </c>
      <c r="T7" s="16"/>
      <c r="U7" s="16"/>
    </row>
    <row r="8" spans="1:21" x14ac:dyDescent="0.25">
      <c r="A8" s="16" t="s">
        <v>37</v>
      </c>
      <c r="B8" s="16" t="s">
        <v>257</v>
      </c>
      <c r="C8" s="16" t="s">
        <v>258</v>
      </c>
      <c r="D8" s="16" t="s">
        <v>38</v>
      </c>
      <c r="E8" s="16" t="s">
        <v>38</v>
      </c>
      <c r="F8" s="16" t="s">
        <v>38</v>
      </c>
      <c r="G8" s="16" t="s">
        <v>38</v>
      </c>
      <c r="H8" s="16" t="s">
        <v>41</v>
      </c>
      <c r="I8" s="16" t="s">
        <v>40</v>
      </c>
      <c r="J8" s="16" t="s">
        <v>281</v>
      </c>
      <c r="K8" s="16" t="s">
        <v>282</v>
      </c>
      <c r="L8" s="15">
        <v>2.0000152289867401E-5</v>
      </c>
      <c r="M8" s="15">
        <v>0</v>
      </c>
      <c r="N8" s="15">
        <v>0</v>
      </c>
      <c r="O8" s="15">
        <v>2.0000152289867401E-5</v>
      </c>
      <c r="P8" s="15">
        <v>0</v>
      </c>
      <c r="Q8" s="15">
        <f t="shared" si="0"/>
        <v>0</v>
      </c>
      <c r="R8" s="15">
        <v>0</v>
      </c>
      <c r="S8" s="15">
        <f t="shared" si="1"/>
        <v>0</v>
      </c>
      <c r="T8" s="16"/>
      <c r="U8" s="26"/>
    </row>
    <row r="9" spans="1:21" x14ac:dyDescent="0.25">
      <c r="A9" s="16" t="s">
        <v>37</v>
      </c>
      <c r="B9" s="16" t="s">
        <v>271</v>
      </c>
      <c r="C9" s="16" t="s">
        <v>272</v>
      </c>
      <c r="D9" s="16" t="s">
        <v>38</v>
      </c>
      <c r="E9" s="16" t="s">
        <v>38</v>
      </c>
      <c r="F9" s="16" t="s">
        <v>38</v>
      </c>
      <c r="G9" s="16" t="s">
        <v>38</v>
      </c>
      <c r="H9" s="16" t="s">
        <v>41</v>
      </c>
      <c r="I9" s="16" t="s">
        <v>40</v>
      </c>
      <c r="J9" s="16" t="s">
        <v>281</v>
      </c>
      <c r="K9" s="16" t="s">
        <v>282</v>
      </c>
      <c r="L9" s="15">
        <v>9.9999888334423304E-6</v>
      </c>
      <c r="M9" s="15">
        <v>0</v>
      </c>
      <c r="N9" s="15">
        <v>0</v>
      </c>
      <c r="O9" s="15">
        <v>9.9999888334423304E-6</v>
      </c>
      <c r="P9" s="15">
        <v>0</v>
      </c>
      <c r="Q9" s="15">
        <f t="shared" si="0"/>
        <v>0</v>
      </c>
      <c r="R9" s="15">
        <v>0</v>
      </c>
      <c r="S9" s="15">
        <f t="shared" si="1"/>
        <v>0</v>
      </c>
      <c r="T9" s="16"/>
      <c r="U9" s="16"/>
    </row>
    <row r="10" spans="1:21" x14ac:dyDescent="0.25">
      <c r="A10" s="16" t="s">
        <v>37</v>
      </c>
      <c r="B10" s="16" t="s">
        <v>269</v>
      </c>
      <c r="C10" s="16" t="s">
        <v>270</v>
      </c>
      <c r="D10" s="16" t="s">
        <v>38</v>
      </c>
      <c r="E10" s="16" t="s">
        <v>38</v>
      </c>
      <c r="F10" s="16" t="s">
        <v>38</v>
      </c>
      <c r="G10" s="16" t="s">
        <v>38</v>
      </c>
      <c r="H10" s="16" t="s">
        <v>41</v>
      </c>
      <c r="I10" s="16" t="s">
        <v>40</v>
      </c>
      <c r="J10" s="16" t="s">
        <v>294</v>
      </c>
      <c r="K10" s="16" t="s">
        <v>295</v>
      </c>
      <c r="L10" s="15">
        <v>-36900</v>
      </c>
      <c r="M10" s="15">
        <v>-36900</v>
      </c>
      <c r="N10" s="15">
        <v>-36900</v>
      </c>
      <c r="O10" s="15">
        <v>0</v>
      </c>
      <c r="P10" s="15">
        <v>0</v>
      </c>
      <c r="Q10" s="15">
        <f t="shared" si="0"/>
        <v>0</v>
      </c>
      <c r="R10" s="15">
        <v>0</v>
      </c>
      <c r="S10" s="15">
        <f t="shared" si="1"/>
        <v>0</v>
      </c>
      <c r="T10" s="16"/>
      <c r="U10" s="16"/>
    </row>
    <row r="11" spans="1:21" x14ac:dyDescent="0.25">
      <c r="A11" s="16" t="s">
        <v>37</v>
      </c>
      <c r="B11" s="16" t="s">
        <v>257</v>
      </c>
      <c r="C11" s="16" t="s">
        <v>258</v>
      </c>
      <c r="D11" s="16" t="s">
        <v>38</v>
      </c>
      <c r="E11" s="16" t="s">
        <v>38</v>
      </c>
      <c r="F11" s="16" t="s">
        <v>38</v>
      </c>
      <c r="G11" s="16" t="s">
        <v>38</v>
      </c>
      <c r="H11" s="16" t="s">
        <v>41</v>
      </c>
      <c r="I11" s="16" t="s">
        <v>40</v>
      </c>
      <c r="J11" s="16" t="s">
        <v>289</v>
      </c>
      <c r="K11" s="16" t="s">
        <v>290</v>
      </c>
      <c r="L11" s="15">
        <v>-15500</v>
      </c>
      <c r="M11" s="15">
        <v>0</v>
      </c>
      <c r="N11" s="15">
        <v>-15500</v>
      </c>
      <c r="O11" s="15">
        <v>1.8189894035458565E-12</v>
      </c>
      <c r="P11" s="15">
        <v>0</v>
      </c>
      <c r="Q11" s="15">
        <f t="shared" si="0"/>
        <v>0</v>
      </c>
      <c r="R11" s="15">
        <v>0</v>
      </c>
      <c r="S11" s="15">
        <f t="shared" si="1"/>
        <v>0</v>
      </c>
      <c r="T11" s="16"/>
      <c r="U11" s="26"/>
    </row>
    <row r="12" spans="1:21" x14ac:dyDescent="0.25">
      <c r="A12" s="16" t="s">
        <v>37</v>
      </c>
      <c r="B12" s="16" t="s">
        <v>271</v>
      </c>
      <c r="C12" s="16" t="s">
        <v>272</v>
      </c>
      <c r="D12" s="16" t="s">
        <v>38</v>
      </c>
      <c r="E12" s="16" t="s">
        <v>38</v>
      </c>
      <c r="F12" s="16" t="s">
        <v>38</v>
      </c>
      <c r="G12" s="16" t="s">
        <v>38</v>
      </c>
      <c r="H12" s="16" t="s">
        <v>41</v>
      </c>
      <c r="I12" s="16" t="s">
        <v>40</v>
      </c>
      <c r="J12" s="16" t="s">
        <v>289</v>
      </c>
      <c r="K12" s="16" t="s">
        <v>290</v>
      </c>
      <c r="L12" s="15">
        <v>-550995</v>
      </c>
      <c r="M12" s="15">
        <v>0</v>
      </c>
      <c r="N12" s="15">
        <v>-140108</v>
      </c>
      <c r="O12" s="15">
        <v>-410887</v>
      </c>
      <c r="P12" s="15">
        <v>-410887</v>
      </c>
      <c r="Q12" s="15">
        <f t="shared" si="0"/>
        <v>-410887</v>
      </c>
      <c r="R12" s="15">
        <v>0</v>
      </c>
      <c r="S12" s="15">
        <f t="shared" si="1"/>
        <v>-410887</v>
      </c>
      <c r="T12" s="16"/>
      <c r="U12" s="16"/>
    </row>
    <row r="13" spans="1:21" x14ac:dyDescent="0.25">
      <c r="A13" s="16" t="s">
        <v>37</v>
      </c>
      <c r="B13" s="16" t="s">
        <v>265</v>
      </c>
      <c r="C13" s="16" t="s">
        <v>266</v>
      </c>
      <c r="D13" s="16" t="s">
        <v>38</v>
      </c>
      <c r="E13" s="16" t="s">
        <v>38</v>
      </c>
      <c r="F13" s="16" t="s">
        <v>38</v>
      </c>
      <c r="G13" s="16" t="s">
        <v>38</v>
      </c>
      <c r="H13" s="16" t="s">
        <v>41</v>
      </c>
      <c r="I13" s="16" t="s">
        <v>40</v>
      </c>
      <c r="J13" s="16" t="s">
        <v>289</v>
      </c>
      <c r="K13" s="16" t="s">
        <v>290</v>
      </c>
      <c r="L13" s="15">
        <v>-236797</v>
      </c>
      <c r="M13" s="15">
        <v>-61794.000000000007</v>
      </c>
      <c r="N13" s="15">
        <v>-236010</v>
      </c>
      <c r="O13" s="15">
        <v>-787.00000000001455</v>
      </c>
      <c r="P13" s="15">
        <v>-787.00000000001455</v>
      </c>
      <c r="Q13" s="15">
        <f t="shared" si="0"/>
        <v>-787.00000000001455</v>
      </c>
      <c r="R13" s="15">
        <v>0</v>
      </c>
      <c r="S13" s="15">
        <f t="shared" si="1"/>
        <v>-787.00000000001455</v>
      </c>
      <c r="T13" s="16"/>
      <c r="U13" s="16"/>
    </row>
    <row r="14" spans="1:21" x14ac:dyDescent="0.25">
      <c r="A14" s="16" t="s">
        <v>37</v>
      </c>
      <c r="B14" s="16" t="s">
        <v>257</v>
      </c>
      <c r="C14" s="16" t="s">
        <v>258</v>
      </c>
      <c r="D14" s="16" t="s">
        <v>38</v>
      </c>
      <c r="E14" s="16" t="s">
        <v>38</v>
      </c>
      <c r="F14" s="16" t="s">
        <v>38</v>
      </c>
      <c r="G14" s="16" t="s">
        <v>38</v>
      </c>
      <c r="H14" s="16" t="s">
        <v>41</v>
      </c>
      <c r="I14" s="16" t="s">
        <v>40</v>
      </c>
      <c r="J14" s="16" t="s">
        <v>285</v>
      </c>
      <c r="K14" s="16" t="s">
        <v>286</v>
      </c>
      <c r="L14" s="15">
        <v>1.2999999671592377E-4</v>
      </c>
      <c r="M14" s="15">
        <v>0</v>
      </c>
      <c r="N14" s="15">
        <v>0</v>
      </c>
      <c r="O14" s="15">
        <v>1.2999999671592377E-4</v>
      </c>
      <c r="P14" s="15">
        <v>0</v>
      </c>
      <c r="Q14" s="15">
        <f t="shared" si="0"/>
        <v>0</v>
      </c>
      <c r="R14" s="15">
        <v>0</v>
      </c>
      <c r="S14" s="15">
        <f t="shared" si="1"/>
        <v>0</v>
      </c>
      <c r="T14" s="16"/>
      <c r="U14" s="26"/>
    </row>
    <row r="15" spans="1:21" x14ac:dyDescent="0.25">
      <c r="A15" s="16" t="s">
        <v>37</v>
      </c>
      <c r="B15" s="16" t="s">
        <v>263</v>
      </c>
      <c r="C15" s="16" t="s">
        <v>264</v>
      </c>
      <c r="D15" s="16" t="s">
        <v>38</v>
      </c>
      <c r="E15" s="16" t="s">
        <v>38</v>
      </c>
      <c r="F15" s="16" t="s">
        <v>38</v>
      </c>
      <c r="G15" s="16" t="s">
        <v>38</v>
      </c>
      <c r="H15" s="16" t="s">
        <v>41</v>
      </c>
      <c r="I15" s="16" t="s">
        <v>40</v>
      </c>
      <c r="J15" s="16" t="s">
        <v>285</v>
      </c>
      <c r="K15" s="16" t="s">
        <v>286</v>
      </c>
      <c r="L15" s="15">
        <v>1.0000000474974513E-4</v>
      </c>
      <c r="M15" s="15">
        <v>0</v>
      </c>
      <c r="N15" s="15">
        <v>0</v>
      </c>
      <c r="O15" s="15">
        <v>1.0000000474974513E-4</v>
      </c>
      <c r="P15" s="15">
        <v>0</v>
      </c>
      <c r="Q15" s="15">
        <f t="shared" si="0"/>
        <v>0</v>
      </c>
      <c r="R15" s="15">
        <v>0</v>
      </c>
      <c r="S15" s="15">
        <f t="shared" si="1"/>
        <v>0</v>
      </c>
      <c r="T15" s="16"/>
      <c r="U15" s="16"/>
    </row>
    <row r="16" spans="1:21" x14ac:dyDescent="0.25">
      <c r="A16" s="16" t="s">
        <v>37</v>
      </c>
      <c r="B16" s="16" t="s">
        <v>261</v>
      </c>
      <c r="C16" s="16" t="s">
        <v>262</v>
      </c>
      <c r="D16" s="16" t="s">
        <v>38</v>
      </c>
      <c r="E16" s="16" t="s">
        <v>38</v>
      </c>
      <c r="F16" s="16" t="s">
        <v>38</v>
      </c>
      <c r="G16" s="16" t="s">
        <v>38</v>
      </c>
      <c r="H16" s="16" t="s">
        <v>41</v>
      </c>
      <c r="I16" s="16" t="s">
        <v>40</v>
      </c>
      <c r="J16" s="16" t="s">
        <v>285</v>
      </c>
      <c r="K16" s="16" t="s">
        <v>286</v>
      </c>
      <c r="L16" s="15">
        <v>-142018.57998999997</v>
      </c>
      <c r="M16" s="15">
        <v>-142018.57999999999</v>
      </c>
      <c r="N16" s="15">
        <v>-141846.09</v>
      </c>
      <c r="O16" s="15">
        <v>-172.4899899999582</v>
      </c>
      <c r="P16" s="15">
        <f>O16</f>
        <v>-172.4899899999582</v>
      </c>
      <c r="Q16" s="15">
        <f t="shared" si="0"/>
        <v>-172.4899899999582</v>
      </c>
      <c r="R16" s="15">
        <v>0</v>
      </c>
      <c r="S16" s="15">
        <f t="shared" si="1"/>
        <v>-172.4899899999582</v>
      </c>
      <c r="T16" s="16"/>
      <c r="U16" s="16"/>
    </row>
    <row r="17" spans="1:21" x14ac:dyDescent="0.25">
      <c r="A17" s="16" t="s">
        <v>37</v>
      </c>
      <c r="B17" s="16" t="s">
        <v>265</v>
      </c>
      <c r="C17" s="16" t="s">
        <v>266</v>
      </c>
      <c r="D17" s="16" t="s">
        <v>38</v>
      </c>
      <c r="E17" s="16" t="s">
        <v>38</v>
      </c>
      <c r="F17" s="16" t="s">
        <v>38</v>
      </c>
      <c r="G17" s="16" t="s">
        <v>38</v>
      </c>
      <c r="H17" s="16" t="s">
        <v>41</v>
      </c>
      <c r="I17" s="16" t="s">
        <v>40</v>
      </c>
      <c r="J17" s="16" t="s">
        <v>285</v>
      </c>
      <c r="K17" s="16" t="s">
        <v>286</v>
      </c>
      <c r="L17" s="15">
        <v>-35000</v>
      </c>
      <c r="M17" s="15">
        <v>0</v>
      </c>
      <c r="N17" s="15">
        <v>-34879.999999999993</v>
      </c>
      <c r="O17" s="15">
        <v>-120.00000000000364</v>
      </c>
      <c r="P17" s="15">
        <v>-120.00000000000364</v>
      </c>
      <c r="Q17" s="15">
        <f t="shared" si="0"/>
        <v>-120.00000000000364</v>
      </c>
      <c r="R17" s="15">
        <v>0</v>
      </c>
      <c r="S17" s="15">
        <f t="shared" si="1"/>
        <v>-120.00000000000364</v>
      </c>
      <c r="T17" s="16"/>
      <c r="U17" s="16"/>
    </row>
    <row r="18" spans="1:21" x14ac:dyDescent="0.25">
      <c r="A18" s="16" t="s">
        <v>37</v>
      </c>
      <c r="B18" s="16" t="s">
        <v>265</v>
      </c>
      <c r="C18" s="16" t="s">
        <v>266</v>
      </c>
      <c r="D18" s="16" t="s">
        <v>38</v>
      </c>
      <c r="E18" s="16" t="s">
        <v>38</v>
      </c>
      <c r="F18" s="16" t="s">
        <v>38</v>
      </c>
      <c r="G18" s="16" t="s">
        <v>38</v>
      </c>
      <c r="H18" s="16" t="s">
        <v>41</v>
      </c>
      <c r="I18" s="16" t="s">
        <v>40</v>
      </c>
      <c r="J18" s="16" t="s">
        <v>283</v>
      </c>
      <c r="K18" s="16" t="s">
        <v>284</v>
      </c>
      <c r="L18" s="15">
        <v>-16013</v>
      </c>
      <c r="M18" s="15">
        <v>-16013</v>
      </c>
      <c r="N18" s="15">
        <v>-16013</v>
      </c>
      <c r="O18" s="15">
        <v>0</v>
      </c>
      <c r="P18" s="15">
        <v>0</v>
      </c>
      <c r="Q18" s="15">
        <f t="shared" si="0"/>
        <v>0</v>
      </c>
      <c r="R18" s="15">
        <v>0</v>
      </c>
      <c r="S18" s="15">
        <f t="shared" si="1"/>
        <v>0</v>
      </c>
      <c r="T18" s="16"/>
      <c r="U18" s="16"/>
    </row>
    <row r="19" spans="1:21" x14ac:dyDescent="0.25">
      <c r="A19" s="16" t="s">
        <v>37</v>
      </c>
      <c r="B19" s="16" t="s">
        <v>259</v>
      </c>
      <c r="C19" s="16" t="s">
        <v>260</v>
      </c>
      <c r="D19" s="16" t="s">
        <v>38</v>
      </c>
      <c r="E19" s="16" t="s">
        <v>38</v>
      </c>
      <c r="F19" s="16" t="s">
        <v>38</v>
      </c>
      <c r="G19" s="16" t="s">
        <v>38</v>
      </c>
      <c r="H19" s="16" t="s">
        <v>41</v>
      </c>
      <c r="I19" s="16" t="s">
        <v>40</v>
      </c>
      <c r="J19" s="16" t="s">
        <v>283</v>
      </c>
      <c r="K19" s="16" t="s">
        <v>284</v>
      </c>
      <c r="L19" s="15">
        <v>-50760.000000000015</v>
      </c>
      <c r="M19" s="15">
        <v>0</v>
      </c>
      <c r="N19" s="15">
        <v>0</v>
      </c>
      <c r="O19" s="15">
        <v>-50760.000000000015</v>
      </c>
      <c r="P19" s="15">
        <v>-50760.000000000015</v>
      </c>
      <c r="Q19" s="15">
        <f t="shared" si="0"/>
        <v>-50760.000000000015</v>
      </c>
      <c r="R19" s="15">
        <v>0</v>
      </c>
      <c r="S19" s="15">
        <f t="shared" si="1"/>
        <v>-50760.000000000015</v>
      </c>
      <c r="T19" s="16"/>
      <c r="U19" s="16"/>
    </row>
    <row r="20" spans="1:21" x14ac:dyDescent="0.25">
      <c r="A20" s="16" t="s">
        <v>37</v>
      </c>
      <c r="B20" s="16" t="s">
        <v>267</v>
      </c>
      <c r="C20" s="16" t="s">
        <v>268</v>
      </c>
      <c r="D20" s="16" t="s">
        <v>38</v>
      </c>
      <c r="E20" s="16" t="s">
        <v>38</v>
      </c>
      <c r="F20" s="16" t="s">
        <v>38</v>
      </c>
      <c r="G20" s="16" t="s">
        <v>38</v>
      </c>
      <c r="H20" s="16" t="s">
        <v>41</v>
      </c>
      <c r="I20" s="16" t="s">
        <v>40</v>
      </c>
      <c r="J20" s="16" t="s">
        <v>283</v>
      </c>
      <c r="K20" s="16" t="s">
        <v>284</v>
      </c>
      <c r="L20" s="15">
        <v>-579018.99998999992</v>
      </c>
      <c r="M20" s="15">
        <v>-519018.99998999998</v>
      </c>
      <c r="N20" s="15">
        <v>-57349</v>
      </c>
      <c r="O20" s="15">
        <v>-521669.99998999998</v>
      </c>
      <c r="P20" s="15">
        <f>O20</f>
        <v>-521669.99998999998</v>
      </c>
      <c r="Q20" s="15">
        <f t="shared" si="0"/>
        <v>-521669.99998999998</v>
      </c>
      <c r="R20" s="15">
        <v>0</v>
      </c>
      <c r="S20" s="15">
        <f t="shared" si="1"/>
        <v>-521669.99998999998</v>
      </c>
      <c r="T20" s="16"/>
      <c r="U20" s="16"/>
    </row>
    <row r="21" spans="1:21" x14ac:dyDescent="0.25">
      <c r="A21" s="16" t="s">
        <v>37</v>
      </c>
      <c r="B21" s="16" t="s">
        <v>267</v>
      </c>
      <c r="C21" s="16" t="s">
        <v>268</v>
      </c>
      <c r="D21" s="16" t="s">
        <v>38</v>
      </c>
      <c r="E21" s="16" t="s">
        <v>38</v>
      </c>
      <c r="F21" s="16" t="s">
        <v>38</v>
      </c>
      <c r="G21" s="16" t="s">
        <v>38</v>
      </c>
      <c r="H21" s="16" t="s">
        <v>41</v>
      </c>
      <c r="I21" s="16" t="s">
        <v>40</v>
      </c>
      <c r="J21" s="16" t="s">
        <v>42</v>
      </c>
      <c r="K21" s="16" t="s">
        <v>43</v>
      </c>
      <c r="L21" s="15">
        <v>-428863.37</v>
      </c>
      <c r="M21" s="15">
        <v>-53863.37</v>
      </c>
      <c r="N21" s="15">
        <v>-35035.869700000025</v>
      </c>
      <c r="O21" s="15">
        <v>-393827.50029999996</v>
      </c>
      <c r="P21" s="15">
        <v>-375000</v>
      </c>
      <c r="Q21" s="15">
        <f t="shared" si="0"/>
        <v>-375000</v>
      </c>
      <c r="R21" s="15">
        <v>0</v>
      </c>
      <c r="S21" s="15">
        <f t="shared" si="1"/>
        <v>-375000</v>
      </c>
      <c r="T21" s="16"/>
      <c r="U21" s="16"/>
    </row>
    <row r="22" spans="1:21" x14ac:dyDescent="0.25">
      <c r="A22" s="16" t="s">
        <v>37</v>
      </c>
      <c r="B22" s="16" t="s">
        <v>271</v>
      </c>
      <c r="C22" s="16" t="s">
        <v>272</v>
      </c>
      <c r="D22" s="16" t="s">
        <v>38</v>
      </c>
      <c r="E22" s="16" t="s">
        <v>38</v>
      </c>
      <c r="F22" s="16" t="s">
        <v>38</v>
      </c>
      <c r="G22" s="16" t="s">
        <v>38</v>
      </c>
      <c r="H22" s="16" t="s">
        <v>41</v>
      </c>
      <c r="I22" s="16" t="s">
        <v>40</v>
      </c>
      <c r="J22" s="16" t="s">
        <v>44</v>
      </c>
      <c r="K22" s="16" t="s">
        <v>45</v>
      </c>
      <c r="L22" s="15">
        <v>-94166.999989998993</v>
      </c>
      <c r="M22" s="15">
        <v>-94167</v>
      </c>
      <c r="N22" s="15">
        <v>0</v>
      </c>
      <c r="O22" s="15">
        <v>-94166.999989998993</v>
      </c>
      <c r="P22" s="15">
        <v>0</v>
      </c>
      <c r="Q22" s="15">
        <f t="shared" si="0"/>
        <v>0</v>
      </c>
      <c r="R22" s="15">
        <v>0</v>
      </c>
      <c r="S22" s="15">
        <f t="shared" si="1"/>
        <v>0</v>
      </c>
      <c r="T22" s="16"/>
      <c r="U22" s="16"/>
    </row>
    <row r="23" spans="1:21" x14ac:dyDescent="0.25">
      <c r="A23" s="16" t="s">
        <v>37</v>
      </c>
      <c r="B23" s="16" t="s">
        <v>259</v>
      </c>
      <c r="C23" s="16" t="s">
        <v>260</v>
      </c>
      <c r="D23" s="16" t="s">
        <v>38</v>
      </c>
      <c r="E23" s="16" t="s">
        <v>38</v>
      </c>
      <c r="F23" s="16" t="s">
        <v>38</v>
      </c>
      <c r="G23" s="16" t="s">
        <v>38</v>
      </c>
      <c r="H23" s="16" t="s">
        <v>41</v>
      </c>
      <c r="I23" s="16" t="s">
        <v>40</v>
      </c>
      <c r="J23" s="16" t="s">
        <v>44</v>
      </c>
      <c r="K23" s="16" t="s">
        <v>45</v>
      </c>
      <c r="L23" s="15">
        <v>-0.3299000000115484</v>
      </c>
      <c r="M23" s="15">
        <v>0</v>
      </c>
      <c r="N23" s="15">
        <v>0</v>
      </c>
      <c r="O23" s="15">
        <v>-0.3299000000115484</v>
      </c>
      <c r="P23" s="15">
        <v>-0.3299000000115484</v>
      </c>
      <c r="Q23" s="15">
        <f t="shared" si="0"/>
        <v>-0.3299000000115484</v>
      </c>
      <c r="R23" s="15">
        <v>0</v>
      </c>
      <c r="S23" s="15">
        <f t="shared" si="1"/>
        <v>-0.3299000000115484</v>
      </c>
      <c r="T23" s="16"/>
      <c r="U23" s="16"/>
    </row>
    <row r="24" spans="1:21" x14ac:dyDescent="0.25">
      <c r="A24" s="16" t="s">
        <v>37</v>
      </c>
      <c r="B24" s="16" t="s">
        <v>259</v>
      </c>
      <c r="C24" s="16" t="s">
        <v>260</v>
      </c>
      <c r="D24" s="16" t="s">
        <v>38</v>
      </c>
      <c r="E24" s="16" t="s">
        <v>38</v>
      </c>
      <c r="F24" s="16" t="s">
        <v>38</v>
      </c>
      <c r="G24" s="16" t="s">
        <v>38</v>
      </c>
      <c r="H24" s="16" t="s">
        <v>41</v>
      </c>
      <c r="I24" s="16" t="s">
        <v>40</v>
      </c>
      <c r="J24" s="16" t="s">
        <v>46</v>
      </c>
      <c r="K24" s="16" t="s">
        <v>47</v>
      </c>
      <c r="L24" s="15">
        <v>-1060350.0001999999</v>
      </c>
      <c r="M24" s="15">
        <v>-60350.000200000002</v>
      </c>
      <c r="N24" s="15">
        <v>-580000</v>
      </c>
      <c r="O24" s="15">
        <v>-480350.00020000001</v>
      </c>
      <c r="P24" s="15">
        <v>-480350.00020000001</v>
      </c>
      <c r="Q24" s="15">
        <f t="shared" si="0"/>
        <v>-2.0000000949949026E-4</v>
      </c>
      <c r="R24" s="15">
        <v>-480350</v>
      </c>
      <c r="S24" s="15">
        <f t="shared" si="1"/>
        <v>-480350.00020000001</v>
      </c>
      <c r="T24" s="16"/>
      <c r="U24" s="16"/>
    </row>
    <row r="25" spans="1:21" x14ac:dyDescent="0.25">
      <c r="A25" s="16" t="s">
        <v>37</v>
      </c>
      <c r="B25" s="16" t="s">
        <v>259</v>
      </c>
      <c r="C25" s="16" t="s">
        <v>260</v>
      </c>
      <c r="D25" s="16" t="s">
        <v>38</v>
      </c>
      <c r="E25" s="16" t="s">
        <v>38</v>
      </c>
      <c r="F25" s="16" t="s">
        <v>38</v>
      </c>
      <c r="G25" s="16" t="s">
        <v>38</v>
      </c>
      <c r="H25" s="16" t="s">
        <v>41</v>
      </c>
      <c r="I25" s="16" t="s">
        <v>40</v>
      </c>
      <c r="J25" s="16" t="s">
        <v>48</v>
      </c>
      <c r="K25" s="16" t="s">
        <v>49</v>
      </c>
      <c r="L25" s="15">
        <v>-69371582.579970002</v>
      </c>
      <c r="M25" s="15">
        <v>0</v>
      </c>
      <c r="N25" s="15">
        <v>-57326710.467999995</v>
      </c>
      <c r="O25" s="15">
        <v>-12044872.11197</v>
      </c>
      <c r="P25" s="15">
        <v>-12044872.11197</v>
      </c>
      <c r="Q25" s="15">
        <f t="shared" si="0"/>
        <v>-12044872.11197</v>
      </c>
      <c r="R25" s="15">
        <v>0</v>
      </c>
      <c r="S25" s="15">
        <f t="shared" si="1"/>
        <v>-12044872.11197</v>
      </c>
      <c r="T25" s="16"/>
      <c r="U25" s="16"/>
    </row>
    <row r="26" spans="1:21" x14ac:dyDescent="0.25">
      <c r="A26" s="16" t="s">
        <v>37</v>
      </c>
      <c r="B26" s="16" t="s">
        <v>259</v>
      </c>
      <c r="C26" s="16" t="s">
        <v>260</v>
      </c>
      <c r="D26" s="16" t="s">
        <v>38</v>
      </c>
      <c r="E26" s="16" t="s">
        <v>38</v>
      </c>
      <c r="F26" s="16" t="s">
        <v>38</v>
      </c>
      <c r="G26" s="16" t="s">
        <v>38</v>
      </c>
      <c r="H26" s="16" t="s">
        <v>41</v>
      </c>
      <c r="I26" s="16" t="s">
        <v>40</v>
      </c>
      <c r="J26" s="16" t="s">
        <v>50</v>
      </c>
      <c r="K26" s="16" t="s">
        <v>51</v>
      </c>
      <c r="L26" s="15">
        <v>-725064.27</v>
      </c>
      <c r="M26" s="15">
        <v>-325064.27</v>
      </c>
      <c r="N26" s="15">
        <v>-230057.38990000001</v>
      </c>
      <c r="O26" s="15">
        <v>-495006.88010000007</v>
      </c>
      <c r="P26" s="15">
        <v>-400000</v>
      </c>
      <c r="Q26" s="15">
        <f t="shared" si="0"/>
        <v>0</v>
      </c>
      <c r="R26" s="15">
        <v>-400000</v>
      </c>
      <c r="S26" s="15">
        <f t="shared" si="1"/>
        <v>-400000</v>
      </c>
      <c r="T26" s="16"/>
      <c r="U26" s="16"/>
    </row>
    <row r="27" spans="1:21" x14ac:dyDescent="0.25">
      <c r="A27" s="16" t="s">
        <v>37</v>
      </c>
      <c r="B27" s="16" t="s">
        <v>259</v>
      </c>
      <c r="C27" s="16" t="s">
        <v>260</v>
      </c>
      <c r="D27" s="16" t="s">
        <v>38</v>
      </c>
      <c r="E27" s="16" t="s">
        <v>38</v>
      </c>
      <c r="F27" s="16" t="s">
        <v>38</v>
      </c>
      <c r="G27" s="16" t="s">
        <v>38</v>
      </c>
      <c r="H27" s="16" t="s">
        <v>41</v>
      </c>
      <c r="I27" s="16" t="s">
        <v>40</v>
      </c>
      <c r="J27" s="16" t="s">
        <v>52</v>
      </c>
      <c r="K27" s="16" t="s">
        <v>53</v>
      </c>
      <c r="L27" s="15">
        <v>-423058.6</v>
      </c>
      <c r="M27" s="15">
        <v>0</v>
      </c>
      <c r="N27" s="15">
        <v>-349068.48</v>
      </c>
      <c r="O27" s="15">
        <v>-73990.12</v>
      </c>
      <c r="P27" s="15">
        <v>-73990.12</v>
      </c>
      <c r="Q27" s="15">
        <f t="shared" si="0"/>
        <v>-73990.12</v>
      </c>
      <c r="R27" s="15">
        <v>0</v>
      </c>
      <c r="S27" s="15">
        <f t="shared" si="1"/>
        <v>-73990.12</v>
      </c>
      <c r="T27" s="16"/>
      <c r="U27" s="16"/>
    </row>
    <row r="28" spans="1:21" x14ac:dyDescent="0.25">
      <c r="A28" s="16" t="s">
        <v>37</v>
      </c>
      <c r="B28" s="16" t="s">
        <v>259</v>
      </c>
      <c r="C28" s="16" t="s">
        <v>260</v>
      </c>
      <c r="D28" s="16" t="s">
        <v>38</v>
      </c>
      <c r="E28" s="16" t="s">
        <v>38</v>
      </c>
      <c r="F28" s="16" t="s">
        <v>38</v>
      </c>
      <c r="G28" s="16" t="s">
        <v>38</v>
      </c>
      <c r="H28" s="16" t="s">
        <v>41</v>
      </c>
      <c r="I28" s="16" t="s">
        <v>40</v>
      </c>
      <c r="J28" s="16" t="s">
        <v>54</v>
      </c>
      <c r="K28" s="16" t="s">
        <v>55</v>
      </c>
      <c r="L28" s="15">
        <v>-2545882.2710000002</v>
      </c>
      <c r="M28" s="15">
        <v>-45882.271000000001</v>
      </c>
      <c r="N28" s="15">
        <v>-1169507.3</v>
      </c>
      <c r="O28" s="15">
        <v>-1376374.9710000004</v>
      </c>
      <c r="P28" s="15">
        <v>-1376374.9710000004</v>
      </c>
      <c r="Q28" s="15">
        <f t="shared" si="0"/>
        <v>-1376374.9710000004</v>
      </c>
      <c r="R28" s="15">
        <v>0</v>
      </c>
      <c r="S28" s="15">
        <f t="shared" si="1"/>
        <v>-1376374.9710000004</v>
      </c>
      <c r="T28" s="16"/>
      <c r="U28" s="16"/>
    </row>
    <row r="29" spans="1:21" x14ac:dyDescent="0.25">
      <c r="A29" s="16" t="s">
        <v>37</v>
      </c>
      <c r="B29" s="16" t="s">
        <v>259</v>
      </c>
      <c r="C29" s="16" t="s">
        <v>260</v>
      </c>
      <c r="D29" s="16" t="s">
        <v>38</v>
      </c>
      <c r="E29" s="16" t="s">
        <v>38</v>
      </c>
      <c r="F29" s="16" t="s">
        <v>38</v>
      </c>
      <c r="G29" s="16" t="s">
        <v>38</v>
      </c>
      <c r="H29" s="16" t="s">
        <v>41</v>
      </c>
      <c r="I29" s="16" t="s">
        <v>40</v>
      </c>
      <c r="J29" s="16" t="s">
        <v>56</v>
      </c>
      <c r="K29" s="16" t="s">
        <v>57</v>
      </c>
      <c r="L29" s="15">
        <v>1.0000000474974513E-4</v>
      </c>
      <c r="M29" s="15">
        <v>0</v>
      </c>
      <c r="N29" s="15">
        <v>0</v>
      </c>
      <c r="O29" s="15">
        <v>1.0000000474974513E-4</v>
      </c>
      <c r="P29" s="15">
        <v>0</v>
      </c>
      <c r="Q29" s="15">
        <f t="shared" si="0"/>
        <v>0</v>
      </c>
      <c r="R29" s="15">
        <v>0</v>
      </c>
      <c r="S29" s="15">
        <f t="shared" si="1"/>
        <v>0</v>
      </c>
      <c r="T29" s="16"/>
      <c r="U29" s="16"/>
    </row>
    <row r="30" spans="1:21" x14ac:dyDescent="0.25">
      <c r="A30" s="16" t="s">
        <v>37</v>
      </c>
      <c r="B30" s="16" t="s">
        <v>271</v>
      </c>
      <c r="C30" s="16" t="s">
        <v>272</v>
      </c>
      <c r="D30" s="16" t="s">
        <v>38</v>
      </c>
      <c r="E30" s="16" t="s">
        <v>38</v>
      </c>
      <c r="F30" s="16" t="s">
        <v>38</v>
      </c>
      <c r="G30" s="16" t="s">
        <v>38</v>
      </c>
      <c r="H30" s="16" t="s">
        <v>41</v>
      </c>
      <c r="I30" s="16" t="s">
        <v>40</v>
      </c>
      <c r="J30" s="16" t="s">
        <v>56</v>
      </c>
      <c r="K30" s="16" t="s">
        <v>57</v>
      </c>
      <c r="L30" s="15">
        <v>-166666.99999000001</v>
      </c>
      <c r="M30" s="15">
        <v>-166667</v>
      </c>
      <c r="N30" s="15">
        <v>-96920</v>
      </c>
      <c r="O30" s="15">
        <v>-69746.999990000011</v>
      </c>
      <c r="P30" s="15">
        <v>0</v>
      </c>
      <c r="Q30" s="15">
        <f t="shared" si="0"/>
        <v>0</v>
      </c>
      <c r="R30" s="15">
        <v>0</v>
      </c>
      <c r="S30" s="15">
        <f t="shared" si="1"/>
        <v>0</v>
      </c>
      <c r="T30" s="16"/>
      <c r="U30" s="16"/>
    </row>
    <row r="31" spans="1:21" x14ac:dyDescent="0.25">
      <c r="A31" s="16" t="s">
        <v>37</v>
      </c>
      <c r="B31" s="16" t="s">
        <v>271</v>
      </c>
      <c r="C31" s="16" t="s">
        <v>272</v>
      </c>
      <c r="D31" s="16" t="s">
        <v>38</v>
      </c>
      <c r="E31" s="16" t="s">
        <v>38</v>
      </c>
      <c r="F31" s="16" t="s">
        <v>38</v>
      </c>
      <c r="G31" s="16" t="s">
        <v>38</v>
      </c>
      <c r="H31" s="16" t="s">
        <v>41</v>
      </c>
      <c r="I31" s="16" t="s">
        <v>40</v>
      </c>
      <c r="J31" s="16" t="s">
        <v>58</v>
      </c>
      <c r="K31" s="16" t="s">
        <v>59</v>
      </c>
      <c r="L31" s="15">
        <v>-307367</v>
      </c>
      <c r="M31" s="15">
        <v>0</v>
      </c>
      <c r="N31" s="15">
        <v>-8988</v>
      </c>
      <c r="O31" s="15">
        <v>-298379</v>
      </c>
      <c r="P31" s="15">
        <v>-298379</v>
      </c>
      <c r="Q31" s="15">
        <f t="shared" si="0"/>
        <v>8988</v>
      </c>
      <c r="R31" s="15">
        <v>-307367</v>
      </c>
      <c r="S31" s="15">
        <f t="shared" si="1"/>
        <v>-298379</v>
      </c>
      <c r="T31" s="16"/>
      <c r="U31" s="16"/>
    </row>
    <row r="32" spans="1:21" x14ac:dyDescent="0.25">
      <c r="A32" s="16" t="s">
        <v>37</v>
      </c>
      <c r="B32" s="16" t="s">
        <v>263</v>
      </c>
      <c r="C32" s="16" t="s">
        <v>264</v>
      </c>
      <c r="D32" s="16" t="s">
        <v>38</v>
      </c>
      <c r="E32" s="16" t="s">
        <v>38</v>
      </c>
      <c r="F32" s="16" t="s">
        <v>38</v>
      </c>
      <c r="G32" s="16" t="s">
        <v>38</v>
      </c>
      <c r="H32" s="16" t="s">
        <v>41</v>
      </c>
      <c r="I32" s="16" t="s">
        <v>40</v>
      </c>
      <c r="J32" s="16" t="s">
        <v>273</v>
      </c>
      <c r="K32" s="16" t="s">
        <v>274</v>
      </c>
      <c r="L32" s="15">
        <v>2.0000006770715117E-5</v>
      </c>
      <c r="M32" s="15">
        <v>2.0000006770715117E-5</v>
      </c>
      <c r="N32" s="15">
        <v>0</v>
      </c>
      <c r="O32" s="15">
        <v>2.0000006770715117E-5</v>
      </c>
      <c r="P32" s="15">
        <v>2.0000006770715117E-5</v>
      </c>
      <c r="Q32" s="15">
        <f t="shared" si="0"/>
        <v>2.0000006770715117E-5</v>
      </c>
      <c r="R32" s="15">
        <v>0</v>
      </c>
      <c r="S32" s="15">
        <f t="shared" si="1"/>
        <v>2.0000006770715117E-5</v>
      </c>
      <c r="T32" s="16"/>
      <c r="U32" s="16"/>
    </row>
    <row r="33" spans="1:21" x14ac:dyDescent="0.25">
      <c r="A33" s="16" t="s">
        <v>37</v>
      </c>
      <c r="B33" s="16" t="s">
        <v>269</v>
      </c>
      <c r="C33" s="16" t="s">
        <v>270</v>
      </c>
      <c r="D33" s="16" t="s">
        <v>38</v>
      </c>
      <c r="E33" s="16" t="s">
        <v>38</v>
      </c>
      <c r="F33" s="16" t="s">
        <v>38</v>
      </c>
      <c r="G33" s="16" t="s">
        <v>38</v>
      </c>
      <c r="H33" s="16" t="s">
        <v>41</v>
      </c>
      <c r="I33" s="16" t="s">
        <v>40</v>
      </c>
      <c r="J33" s="16" t="s">
        <v>60</v>
      </c>
      <c r="K33" s="16" t="s">
        <v>61</v>
      </c>
      <c r="L33" s="15">
        <v>-4194</v>
      </c>
      <c r="M33" s="15">
        <v>-4194</v>
      </c>
      <c r="N33" s="15">
        <v>0</v>
      </c>
      <c r="O33" s="15">
        <v>-4194</v>
      </c>
      <c r="P33" s="15">
        <v>-4194</v>
      </c>
      <c r="Q33" s="15">
        <v>0</v>
      </c>
      <c r="R33" s="15">
        <v>0</v>
      </c>
      <c r="S33" s="15">
        <f t="shared" si="1"/>
        <v>0</v>
      </c>
      <c r="T33" s="16"/>
      <c r="U33" s="15">
        <v>-4194</v>
      </c>
    </row>
    <row r="34" spans="1:21" x14ac:dyDescent="0.25">
      <c r="A34" s="16" t="s">
        <v>37</v>
      </c>
      <c r="B34" s="16" t="s">
        <v>259</v>
      </c>
      <c r="C34" s="16" t="s">
        <v>260</v>
      </c>
      <c r="D34" s="16" t="s">
        <v>38</v>
      </c>
      <c r="E34" s="16" t="s">
        <v>38</v>
      </c>
      <c r="F34" s="16" t="s">
        <v>38</v>
      </c>
      <c r="G34" s="16" t="s">
        <v>38</v>
      </c>
      <c r="H34" s="16" t="s">
        <v>41</v>
      </c>
      <c r="I34" s="16" t="s">
        <v>40</v>
      </c>
      <c r="J34" s="16" t="s">
        <v>287</v>
      </c>
      <c r="K34" s="16" t="s">
        <v>288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f t="shared" si="0"/>
        <v>195958</v>
      </c>
      <c r="R34" s="15">
        <v>-195958</v>
      </c>
      <c r="S34" s="15">
        <f t="shared" si="1"/>
        <v>0</v>
      </c>
      <c r="T34" s="16"/>
      <c r="U34" s="16"/>
    </row>
    <row r="35" spans="1:21" x14ac:dyDescent="0.25">
      <c r="A35" s="16" t="s">
        <v>37</v>
      </c>
      <c r="B35" s="16" t="s">
        <v>267</v>
      </c>
      <c r="C35" s="16" t="s">
        <v>268</v>
      </c>
      <c r="D35" s="16" t="s">
        <v>38</v>
      </c>
      <c r="E35" s="16" t="s">
        <v>38</v>
      </c>
      <c r="F35" s="16" t="s">
        <v>38</v>
      </c>
      <c r="G35" s="16" t="s">
        <v>38</v>
      </c>
      <c r="H35" s="16" t="s">
        <v>41</v>
      </c>
      <c r="I35" s="16" t="s">
        <v>40</v>
      </c>
      <c r="J35" s="16" t="s">
        <v>62</v>
      </c>
      <c r="K35" s="16" t="s">
        <v>63</v>
      </c>
      <c r="L35" s="15">
        <v>-50000</v>
      </c>
      <c r="M35" s="15">
        <v>-50000</v>
      </c>
      <c r="N35" s="15">
        <v>-41125</v>
      </c>
      <c r="O35" s="15">
        <v>-8875</v>
      </c>
      <c r="P35" s="15">
        <v>0</v>
      </c>
      <c r="Q35" s="15">
        <f t="shared" si="0"/>
        <v>0</v>
      </c>
      <c r="R35" s="15">
        <v>0</v>
      </c>
      <c r="S35" s="15">
        <f t="shared" si="1"/>
        <v>0</v>
      </c>
      <c r="T35" s="16"/>
      <c r="U35" s="15">
        <v>-8875</v>
      </c>
    </row>
    <row r="36" spans="1:21" x14ac:dyDescent="0.25">
      <c r="A36" s="16" t="s">
        <v>37</v>
      </c>
      <c r="B36" s="16" t="s">
        <v>269</v>
      </c>
      <c r="C36" s="16" t="s">
        <v>270</v>
      </c>
      <c r="D36" s="16" t="s">
        <v>38</v>
      </c>
      <c r="E36" s="16" t="s">
        <v>38</v>
      </c>
      <c r="F36" s="16" t="s">
        <v>38</v>
      </c>
      <c r="G36" s="16" t="s">
        <v>38</v>
      </c>
      <c r="H36" s="16" t="s">
        <v>41</v>
      </c>
      <c r="I36" s="16" t="s">
        <v>40</v>
      </c>
      <c r="J36" s="16" t="s">
        <v>64</v>
      </c>
      <c r="K36" s="16" t="s">
        <v>65</v>
      </c>
      <c r="L36" s="15">
        <v>-540000</v>
      </c>
      <c r="M36" s="15">
        <v>0</v>
      </c>
      <c r="N36" s="15">
        <v>-35564.000000000015</v>
      </c>
      <c r="O36" s="15">
        <v>-504436</v>
      </c>
      <c r="P36" s="15">
        <v>-504436</v>
      </c>
      <c r="Q36" s="15">
        <f t="shared" si="0"/>
        <v>-504436</v>
      </c>
      <c r="R36" s="15">
        <v>0</v>
      </c>
      <c r="S36" s="15">
        <f t="shared" si="1"/>
        <v>-504436</v>
      </c>
      <c r="T36" s="16"/>
      <c r="U36" s="16"/>
    </row>
    <row r="37" spans="1:21" x14ac:dyDescent="0.25">
      <c r="A37" s="16" t="s">
        <v>37</v>
      </c>
      <c r="B37" s="16" t="s">
        <v>269</v>
      </c>
      <c r="C37" s="16" t="s">
        <v>270</v>
      </c>
      <c r="D37" s="16" t="s">
        <v>38</v>
      </c>
      <c r="E37" s="16" t="s">
        <v>38</v>
      </c>
      <c r="F37" s="16" t="s">
        <v>38</v>
      </c>
      <c r="G37" s="16" t="s">
        <v>38</v>
      </c>
      <c r="H37" s="16" t="s">
        <v>41</v>
      </c>
      <c r="I37" s="16" t="s">
        <v>40</v>
      </c>
      <c r="J37" s="16" t="s">
        <v>66</v>
      </c>
      <c r="K37" s="16" t="s">
        <v>63</v>
      </c>
      <c r="L37" s="15">
        <v>-1284527.18</v>
      </c>
      <c r="M37" s="15">
        <v>-1284527.18</v>
      </c>
      <c r="N37" s="15">
        <v>-1284527.1800000002</v>
      </c>
      <c r="O37" s="15">
        <v>1.1641532182693481E-10</v>
      </c>
      <c r="P37" s="15">
        <v>0</v>
      </c>
      <c r="Q37" s="15">
        <f t="shared" si="0"/>
        <v>0</v>
      </c>
      <c r="R37" s="15">
        <v>0</v>
      </c>
      <c r="S37" s="15">
        <f t="shared" si="1"/>
        <v>0</v>
      </c>
      <c r="T37" s="16"/>
      <c r="U37" s="16"/>
    </row>
    <row r="38" spans="1:21" x14ac:dyDescent="0.25">
      <c r="A38" s="16" t="s">
        <v>37</v>
      </c>
      <c r="B38" s="16" t="s">
        <v>269</v>
      </c>
      <c r="C38" s="16" t="s">
        <v>270</v>
      </c>
      <c r="D38" s="16" t="s">
        <v>38</v>
      </c>
      <c r="E38" s="16" t="s">
        <v>38</v>
      </c>
      <c r="F38" s="16" t="s">
        <v>38</v>
      </c>
      <c r="G38" s="16" t="s">
        <v>38</v>
      </c>
      <c r="H38" s="16" t="s">
        <v>41</v>
      </c>
      <c r="I38" s="16" t="s">
        <v>40</v>
      </c>
      <c r="J38" s="16" t="s">
        <v>67</v>
      </c>
      <c r="K38" s="16" t="s">
        <v>68</v>
      </c>
      <c r="L38" s="15">
        <v>-300000</v>
      </c>
      <c r="M38" s="15">
        <v>0</v>
      </c>
      <c r="N38" s="15">
        <v>-42724</v>
      </c>
      <c r="O38" s="15">
        <v>-257276</v>
      </c>
      <c r="P38" s="15">
        <v>-257276</v>
      </c>
      <c r="Q38" s="15">
        <f t="shared" si="0"/>
        <v>-257276</v>
      </c>
      <c r="R38" s="15">
        <v>0</v>
      </c>
      <c r="S38" s="15">
        <f t="shared" si="1"/>
        <v>-257276</v>
      </c>
      <c r="T38" s="16"/>
      <c r="U38" s="16"/>
    </row>
    <row r="39" spans="1:21" x14ac:dyDescent="0.25">
      <c r="A39" s="16" t="s">
        <v>37</v>
      </c>
      <c r="B39" s="16" t="s">
        <v>269</v>
      </c>
      <c r="C39" s="16" t="s">
        <v>270</v>
      </c>
      <c r="D39" s="16" t="s">
        <v>38</v>
      </c>
      <c r="E39" s="16" t="s">
        <v>38</v>
      </c>
      <c r="F39" s="16" t="s">
        <v>38</v>
      </c>
      <c r="G39" s="16" t="s">
        <v>38</v>
      </c>
      <c r="H39" s="16" t="s">
        <v>41</v>
      </c>
      <c r="I39" s="16" t="s">
        <v>40</v>
      </c>
      <c r="J39" s="16" t="s">
        <v>69</v>
      </c>
      <c r="K39" s="16" t="s">
        <v>70</v>
      </c>
      <c r="L39" s="15">
        <v>-231920</v>
      </c>
      <c r="M39" s="15">
        <v>-231920</v>
      </c>
      <c r="N39" s="15">
        <v>-150030.16999999998</v>
      </c>
      <c r="O39" s="15">
        <v>-81889.83</v>
      </c>
      <c r="P39" s="15">
        <v>0</v>
      </c>
      <c r="Q39" s="15">
        <f t="shared" si="0"/>
        <v>0</v>
      </c>
      <c r="R39" s="15">
        <v>0</v>
      </c>
      <c r="S39" s="15">
        <f t="shared" si="1"/>
        <v>0</v>
      </c>
      <c r="T39" s="16"/>
      <c r="U39" s="15">
        <v>-81890</v>
      </c>
    </row>
    <row r="40" spans="1:21" x14ac:dyDescent="0.25">
      <c r="A40" s="16" t="s">
        <v>37</v>
      </c>
      <c r="B40" s="16" t="s">
        <v>267</v>
      </c>
      <c r="C40" s="16" t="s">
        <v>268</v>
      </c>
      <c r="D40" s="16" t="s">
        <v>38</v>
      </c>
      <c r="E40" s="16" t="s">
        <v>38</v>
      </c>
      <c r="F40" s="16" t="s">
        <v>38</v>
      </c>
      <c r="G40" s="16" t="s">
        <v>38</v>
      </c>
      <c r="H40" s="16" t="s">
        <v>41</v>
      </c>
      <c r="I40" s="16" t="s">
        <v>40</v>
      </c>
      <c r="J40" s="16" t="s">
        <v>71</v>
      </c>
      <c r="K40" s="16" t="s">
        <v>72</v>
      </c>
      <c r="L40" s="15">
        <v>-18000</v>
      </c>
      <c r="M40" s="15">
        <v>0</v>
      </c>
      <c r="N40" s="15">
        <v>0</v>
      </c>
      <c r="O40" s="15">
        <v>-18000</v>
      </c>
      <c r="P40" s="15">
        <v>-18000</v>
      </c>
      <c r="Q40" s="15">
        <f t="shared" si="0"/>
        <v>-18000</v>
      </c>
      <c r="R40" s="15">
        <v>0</v>
      </c>
      <c r="S40" s="15">
        <f t="shared" si="1"/>
        <v>-18000</v>
      </c>
      <c r="T40" s="16"/>
      <c r="U40" s="16"/>
    </row>
    <row r="41" spans="1:21" x14ac:dyDescent="0.25">
      <c r="A41" s="16" t="s">
        <v>37</v>
      </c>
      <c r="B41" s="16" t="s">
        <v>259</v>
      </c>
      <c r="C41" s="16" t="s">
        <v>260</v>
      </c>
      <c r="D41" s="16" t="s">
        <v>38</v>
      </c>
      <c r="E41" s="16" t="s">
        <v>38</v>
      </c>
      <c r="F41" s="16" t="s">
        <v>38</v>
      </c>
      <c r="G41" s="16" t="s">
        <v>38</v>
      </c>
      <c r="H41" s="16" t="s">
        <v>41</v>
      </c>
      <c r="I41" s="16" t="s">
        <v>40</v>
      </c>
      <c r="J41" s="16" t="s">
        <v>73</v>
      </c>
      <c r="K41" s="16" t="s">
        <v>74</v>
      </c>
      <c r="L41" s="15">
        <v>-656103.94999999995</v>
      </c>
      <c r="M41" s="15">
        <v>-656103.94999999995</v>
      </c>
      <c r="N41" s="15">
        <v>-656103.94999999995</v>
      </c>
      <c r="O41" s="15">
        <v>0</v>
      </c>
      <c r="P41" s="15">
        <v>0</v>
      </c>
      <c r="Q41" s="15">
        <f t="shared" si="0"/>
        <v>0</v>
      </c>
      <c r="R41" s="15">
        <v>0</v>
      </c>
      <c r="S41" s="15">
        <f t="shared" si="1"/>
        <v>0</v>
      </c>
      <c r="T41" s="16"/>
      <c r="U41" s="16"/>
    </row>
    <row r="42" spans="1:21" x14ac:dyDescent="0.25">
      <c r="A42" s="16" t="s">
        <v>37</v>
      </c>
      <c r="B42" s="16" t="s">
        <v>257</v>
      </c>
      <c r="C42" s="16" t="s">
        <v>258</v>
      </c>
      <c r="D42" s="16" t="s">
        <v>38</v>
      </c>
      <c r="E42" s="16" t="s">
        <v>38</v>
      </c>
      <c r="F42" s="16" t="s">
        <v>38</v>
      </c>
      <c r="G42" s="16" t="s">
        <v>38</v>
      </c>
      <c r="H42" s="16" t="s">
        <v>41</v>
      </c>
      <c r="I42" s="16" t="s">
        <v>40</v>
      </c>
      <c r="J42" s="16" t="s">
        <v>75</v>
      </c>
      <c r="K42" s="16" t="s">
        <v>76</v>
      </c>
      <c r="L42" s="15">
        <v>-758684</v>
      </c>
      <c r="M42" s="15">
        <v>0</v>
      </c>
      <c r="N42" s="15">
        <v>-758684</v>
      </c>
      <c r="O42" s="15">
        <v>0</v>
      </c>
      <c r="P42" s="15">
        <v>0</v>
      </c>
      <c r="Q42" s="15">
        <f t="shared" si="0"/>
        <v>0</v>
      </c>
      <c r="R42" s="15">
        <v>0</v>
      </c>
      <c r="S42" s="15">
        <f t="shared" si="1"/>
        <v>0</v>
      </c>
      <c r="T42" s="16"/>
      <c r="U42" s="26"/>
    </row>
    <row r="43" spans="1:21" x14ac:dyDescent="0.25">
      <c r="A43" s="16" t="s">
        <v>37</v>
      </c>
      <c r="B43" s="16" t="s">
        <v>271</v>
      </c>
      <c r="C43" s="16" t="s">
        <v>272</v>
      </c>
      <c r="D43" s="16" t="s">
        <v>38</v>
      </c>
      <c r="E43" s="16" t="s">
        <v>38</v>
      </c>
      <c r="F43" s="16" t="s">
        <v>38</v>
      </c>
      <c r="G43" s="16" t="s">
        <v>38</v>
      </c>
      <c r="H43" s="16" t="s">
        <v>41</v>
      </c>
      <c r="I43" s="16" t="s">
        <v>40</v>
      </c>
      <c r="J43" s="16" t="s">
        <v>77</v>
      </c>
      <c r="K43" s="16" t="s">
        <v>78</v>
      </c>
      <c r="L43" s="15">
        <v>-382000</v>
      </c>
      <c r="M43" s="15">
        <v>0</v>
      </c>
      <c r="N43" s="15">
        <v>-102870.6</v>
      </c>
      <c r="O43" s="15">
        <v>-279129.40000000002</v>
      </c>
      <c r="P43" s="15">
        <v>-279129.40000000002</v>
      </c>
      <c r="Q43" s="15">
        <f t="shared" si="0"/>
        <v>-0.40000000002328306</v>
      </c>
      <c r="R43" s="15">
        <v>-279129</v>
      </c>
      <c r="S43" s="15">
        <f t="shared" si="1"/>
        <v>-279129.40000000002</v>
      </c>
      <c r="T43" s="16"/>
      <c r="U43" s="16"/>
    </row>
    <row r="44" spans="1:21" x14ac:dyDescent="0.25">
      <c r="A44" s="16" t="s">
        <v>37</v>
      </c>
      <c r="B44" s="16" t="s">
        <v>259</v>
      </c>
      <c r="C44" s="16" t="s">
        <v>260</v>
      </c>
      <c r="D44" s="16" t="s">
        <v>38</v>
      </c>
      <c r="E44" s="16" t="s">
        <v>38</v>
      </c>
      <c r="F44" s="16" t="s">
        <v>38</v>
      </c>
      <c r="G44" s="16" t="s">
        <v>38</v>
      </c>
      <c r="H44" s="16" t="s">
        <v>41</v>
      </c>
      <c r="I44" s="16" t="s">
        <v>40</v>
      </c>
      <c r="J44" s="16" t="s">
        <v>79</v>
      </c>
      <c r="K44" s="16" t="s">
        <v>80</v>
      </c>
      <c r="L44" s="15">
        <v>-35000.000200000002</v>
      </c>
      <c r="M44" s="15">
        <v>0</v>
      </c>
      <c r="N44" s="15">
        <v>-21800</v>
      </c>
      <c r="O44" s="15">
        <v>-13200.000200000002</v>
      </c>
      <c r="P44" s="15">
        <v>-13200.000200000002</v>
      </c>
      <c r="Q44" s="15">
        <f t="shared" si="0"/>
        <v>-13200.000200000002</v>
      </c>
      <c r="R44" s="15">
        <v>0</v>
      </c>
      <c r="S44" s="15">
        <f t="shared" si="1"/>
        <v>-13200.000200000002</v>
      </c>
      <c r="T44" s="16"/>
      <c r="U44" s="16"/>
    </row>
    <row r="45" spans="1:21" x14ac:dyDescent="0.25">
      <c r="A45" s="16" t="s">
        <v>37</v>
      </c>
      <c r="B45" s="16" t="s">
        <v>271</v>
      </c>
      <c r="C45" s="16" t="s">
        <v>272</v>
      </c>
      <c r="D45" s="16" t="s">
        <v>38</v>
      </c>
      <c r="E45" s="16" t="s">
        <v>38</v>
      </c>
      <c r="F45" s="16" t="s">
        <v>38</v>
      </c>
      <c r="G45" s="16" t="s">
        <v>38</v>
      </c>
      <c r="H45" s="16" t="s">
        <v>41</v>
      </c>
      <c r="I45" s="16" t="s">
        <v>40</v>
      </c>
      <c r="J45" s="16" t="s">
        <v>79</v>
      </c>
      <c r="K45" s="16" t="s">
        <v>80</v>
      </c>
      <c r="L45" s="15">
        <v>-754999.99999000004</v>
      </c>
      <c r="M45" s="15">
        <v>0</v>
      </c>
      <c r="N45" s="15">
        <v>-135293.4</v>
      </c>
      <c r="O45" s="15">
        <v>-619706.59999000002</v>
      </c>
      <c r="P45" s="15">
        <v>-619706.59999000002</v>
      </c>
      <c r="Q45" s="15">
        <f t="shared" si="0"/>
        <v>0.40000999998301268</v>
      </c>
      <c r="R45" s="15">
        <v>-619707</v>
      </c>
      <c r="S45" s="15">
        <f t="shared" si="1"/>
        <v>-619706.59999000002</v>
      </c>
      <c r="T45" s="16"/>
      <c r="U45" s="16"/>
    </row>
    <row r="46" spans="1:21" x14ac:dyDescent="0.25">
      <c r="A46" s="28" t="s">
        <v>37</v>
      </c>
      <c r="B46" s="28" t="s">
        <v>269</v>
      </c>
      <c r="C46" s="28" t="s">
        <v>270</v>
      </c>
      <c r="D46" s="28" t="s">
        <v>81</v>
      </c>
      <c r="E46" s="28" t="s">
        <v>82</v>
      </c>
      <c r="F46" s="28" t="s">
        <v>83</v>
      </c>
      <c r="G46" s="28" t="s">
        <v>84</v>
      </c>
      <c r="H46" s="28" t="s">
        <v>85</v>
      </c>
      <c r="I46" s="28" t="s">
        <v>40</v>
      </c>
      <c r="J46" s="28" t="s">
        <v>38</v>
      </c>
      <c r="K46" s="28" t="s">
        <v>293</v>
      </c>
      <c r="L46" s="29">
        <v>-2858</v>
      </c>
      <c r="M46" s="29">
        <v>0</v>
      </c>
      <c r="N46" s="29">
        <v>0</v>
      </c>
      <c r="O46" s="29">
        <v>-2858</v>
      </c>
      <c r="P46" s="29">
        <v>-2858</v>
      </c>
      <c r="Q46" s="29">
        <v>0</v>
      </c>
      <c r="R46" s="15">
        <v>0</v>
      </c>
      <c r="S46" s="15">
        <f t="shared" si="1"/>
        <v>0</v>
      </c>
      <c r="T46" s="16"/>
      <c r="U46" s="16"/>
    </row>
    <row r="47" spans="1:21" x14ac:dyDescent="0.25">
      <c r="A47" s="16" t="s">
        <v>37</v>
      </c>
      <c r="B47" s="16" t="s">
        <v>257</v>
      </c>
      <c r="C47" s="16" t="s">
        <v>258</v>
      </c>
      <c r="D47" s="16" t="s">
        <v>81</v>
      </c>
      <c r="E47" s="16" t="s">
        <v>82</v>
      </c>
      <c r="F47" s="16" t="s">
        <v>83</v>
      </c>
      <c r="G47" s="16" t="s">
        <v>84</v>
      </c>
      <c r="H47" s="16" t="s">
        <v>85</v>
      </c>
      <c r="I47" s="16" t="s">
        <v>40</v>
      </c>
      <c r="J47" s="16" t="s">
        <v>38</v>
      </c>
      <c r="K47" s="16" t="s">
        <v>293</v>
      </c>
      <c r="L47" s="15">
        <v>-8162.4999999464872</v>
      </c>
      <c r="M47" s="15">
        <v>0</v>
      </c>
      <c r="N47" s="15">
        <v>-8162.5</v>
      </c>
      <c r="O47" s="15">
        <v>5.3512849262915552E-8</v>
      </c>
      <c r="P47" s="15">
        <v>0</v>
      </c>
      <c r="Q47" s="15">
        <f t="shared" si="0"/>
        <v>0</v>
      </c>
      <c r="R47" s="15">
        <v>0</v>
      </c>
      <c r="S47" s="15">
        <f t="shared" si="1"/>
        <v>0</v>
      </c>
      <c r="T47" s="16"/>
      <c r="U47" s="26"/>
    </row>
    <row r="48" spans="1:21" x14ac:dyDescent="0.25">
      <c r="A48" s="28" t="s">
        <v>37</v>
      </c>
      <c r="B48" s="28" t="s">
        <v>269</v>
      </c>
      <c r="C48" s="28" t="s">
        <v>270</v>
      </c>
      <c r="D48" s="28" t="s">
        <v>81</v>
      </c>
      <c r="E48" s="28" t="s">
        <v>82</v>
      </c>
      <c r="F48" s="28" t="s">
        <v>86</v>
      </c>
      <c r="G48" s="28" t="s">
        <v>87</v>
      </c>
      <c r="H48" s="28" t="s">
        <v>85</v>
      </c>
      <c r="I48" s="28" t="s">
        <v>40</v>
      </c>
      <c r="J48" s="28" t="s">
        <v>38</v>
      </c>
      <c r="K48" s="28" t="s">
        <v>293</v>
      </c>
      <c r="L48" s="29">
        <v>-22505.000000000007</v>
      </c>
      <c r="M48" s="29">
        <v>0</v>
      </c>
      <c r="N48" s="29">
        <v>0</v>
      </c>
      <c r="O48" s="29">
        <v>-22505.000000000007</v>
      </c>
      <c r="P48" s="29">
        <v>-22505.000000000007</v>
      </c>
      <c r="Q48" s="29">
        <v>0</v>
      </c>
      <c r="R48" s="15">
        <v>0</v>
      </c>
      <c r="S48" s="15">
        <f t="shared" si="1"/>
        <v>0</v>
      </c>
      <c r="T48" s="16"/>
      <c r="U48" s="16"/>
    </row>
    <row r="49" spans="1:23" x14ac:dyDescent="0.25">
      <c r="A49" s="16" t="s">
        <v>37</v>
      </c>
      <c r="B49" s="16" t="s">
        <v>257</v>
      </c>
      <c r="C49" s="16" t="s">
        <v>258</v>
      </c>
      <c r="D49" s="16" t="s">
        <v>81</v>
      </c>
      <c r="E49" s="16" t="s">
        <v>82</v>
      </c>
      <c r="F49" s="16" t="s">
        <v>86</v>
      </c>
      <c r="G49" s="16" t="s">
        <v>87</v>
      </c>
      <c r="H49" s="16" t="s">
        <v>85</v>
      </c>
      <c r="I49" s="16" t="s">
        <v>40</v>
      </c>
      <c r="J49" s="16" t="s">
        <v>38</v>
      </c>
      <c r="K49" s="16" t="s">
        <v>293</v>
      </c>
      <c r="L49" s="15">
        <v>-28568.74999957862</v>
      </c>
      <c r="M49" s="15">
        <v>0</v>
      </c>
      <c r="N49" s="15">
        <v>-28568.75</v>
      </c>
      <c r="O49" s="15">
        <v>4.2137980926781893E-7</v>
      </c>
      <c r="P49" s="15">
        <v>0</v>
      </c>
      <c r="Q49" s="15">
        <f t="shared" si="0"/>
        <v>0</v>
      </c>
      <c r="R49" s="15">
        <v>0</v>
      </c>
      <c r="S49" s="15">
        <f t="shared" si="1"/>
        <v>0</v>
      </c>
      <c r="T49" s="16"/>
      <c r="U49" s="26"/>
    </row>
    <row r="50" spans="1:23" x14ac:dyDescent="0.25">
      <c r="A50" s="16" t="s">
        <v>37</v>
      </c>
      <c r="B50" s="16" t="s">
        <v>257</v>
      </c>
      <c r="C50" s="16" t="s">
        <v>258</v>
      </c>
      <c r="D50" s="16" t="s">
        <v>81</v>
      </c>
      <c r="E50" s="16" t="s">
        <v>82</v>
      </c>
      <c r="F50" s="16" t="s">
        <v>88</v>
      </c>
      <c r="G50" s="16" t="s">
        <v>89</v>
      </c>
      <c r="H50" s="16" t="s">
        <v>85</v>
      </c>
      <c r="I50" s="16" t="s">
        <v>40</v>
      </c>
      <c r="J50" s="16" t="s">
        <v>38</v>
      </c>
      <c r="K50" s="16" t="s">
        <v>293</v>
      </c>
      <c r="L50" s="15">
        <v>-4081.2499999147876</v>
      </c>
      <c r="M50" s="15">
        <v>0</v>
      </c>
      <c r="N50" s="15">
        <v>-4081.25</v>
      </c>
      <c r="O50" s="15">
        <v>8.5212377598509192E-8</v>
      </c>
      <c r="P50" s="15">
        <v>0</v>
      </c>
      <c r="Q50" s="15">
        <f t="shared" si="0"/>
        <v>0</v>
      </c>
      <c r="R50" s="15">
        <v>0</v>
      </c>
      <c r="S50" s="15">
        <f t="shared" si="1"/>
        <v>0</v>
      </c>
      <c r="T50" s="16"/>
      <c r="U50" s="26"/>
    </row>
    <row r="51" spans="1:23" x14ac:dyDescent="0.25">
      <c r="A51" s="28" t="s">
        <v>37</v>
      </c>
      <c r="B51" s="28" t="s">
        <v>269</v>
      </c>
      <c r="C51" s="28" t="s">
        <v>270</v>
      </c>
      <c r="D51" s="28" t="s">
        <v>81</v>
      </c>
      <c r="E51" s="28" t="s">
        <v>82</v>
      </c>
      <c r="F51" s="28" t="s">
        <v>88</v>
      </c>
      <c r="G51" s="28" t="s">
        <v>89</v>
      </c>
      <c r="H51" s="28" t="s">
        <v>85</v>
      </c>
      <c r="I51" s="28" t="s">
        <v>40</v>
      </c>
      <c r="J51" s="28" t="s">
        <v>38</v>
      </c>
      <c r="K51" s="28" t="s">
        <v>293</v>
      </c>
      <c r="L51" s="29">
        <v>-4551</v>
      </c>
      <c r="M51" s="29">
        <v>0</v>
      </c>
      <c r="N51" s="29">
        <v>0</v>
      </c>
      <c r="O51" s="29">
        <v>-4551</v>
      </c>
      <c r="P51" s="29">
        <v>-4551</v>
      </c>
      <c r="Q51" s="29">
        <v>0</v>
      </c>
      <c r="R51" s="15">
        <v>0</v>
      </c>
      <c r="S51" s="15">
        <f t="shared" si="1"/>
        <v>0</v>
      </c>
      <c r="T51" s="16"/>
      <c r="U51" s="16"/>
    </row>
    <row r="52" spans="1:23" x14ac:dyDescent="0.25">
      <c r="A52" s="28" t="s">
        <v>37</v>
      </c>
      <c r="B52" s="28" t="s">
        <v>269</v>
      </c>
      <c r="C52" s="28" t="s">
        <v>270</v>
      </c>
      <c r="D52" s="28" t="s">
        <v>81</v>
      </c>
      <c r="E52" s="28" t="s">
        <v>82</v>
      </c>
      <c r="F52" s="28" t="s">
        <v>90</v>
      </c>
      <c r="G52" s="28" t="s">
        <v>91</v>
      </c>
      <c r="H52" s="28" t="s">
        <v>85</v>
      </c>
      <c r="I52" s="28" t="s">
        <v>40</v>
      </c>
      <c r="J52" s="28" t="s">
        <v>38</v>
      </c>
      <c r="K52" s="28" t="s">
        <v>293</v>
      </c>
      <c r="L52" s="29">
        <v>-940.99999999999977</v>
      </c>
      <c r="M52" s="29">
        <v>0</v>
      </c>
      <c r="N52" s="29">
        <v>0</v>
      </c>
      <c r="O52" s="29">
        <v>-940.99999999999977</v>
      </c>
      <c r="P52" s="29">
        <v>-940.99999999999977</v>
      </c>
      <c r="Q52" s="29">
        <v>0</v>
      </c>
      <c r="R52" s="15">
        <v>0</v>
      </c>
      <c r="S52" s="15">
        <f t="shared" si="1"/>
        <v>0</v>
      </c>
      <c r="T52" s="16"/>
      <c r="U52" s="16"/>
    </row>
    <row r="53" spans="1:23" x14ac:dyDescent="0.25">
      <c r="A53" s="16" t="s">
        <v>37</v>
      </c>
      <c r="B53" s="16" t="s">
        <v>257</v>
      </c>
      <c r="C53" s="16" t="s">
        <v>258</v>
      </c>
      <c r="D53" s="16" t="s">
        <v>81</v>
      </c>
      <c r="E53" s="16" t="s">
        <v>82</v>
      </c>
      <c r="F53" s="16" t="s">
        <v>90</v>
      </c>
      <c r="G53" s="16" t="s">
        <v>91</v>
      </c>
      <c r="H53" s="16" t="s">
        <v>85</v>
      </c>
      <c r="I53" s="16" t="s">
        <v>40</v>
      </c>
      <c r="J53" s="16" t="s">
        <v>38</v>
      </c>
      <c r="K53" s="16" t="s">
        <v>293</v>
      </c>
      <c r="L53" s="15">
        <v>-4081.2499999823808</v>
      </c>
      <c r="M53" s="15">
        <v>0</v>
      </c>
      <c r="N53" s="15">
        <v>-4081.25</v>
      </c>
      <c r="O53" s="15">
        <v>1.7619186110096052E-8</v>
      </c>
      <c r="P53" s="15">
        <v>0</v>
      </c>
      <c r="Q53" s="15">
        <f t="shared" si="0"/>
        <v>0</v>
      </c>
      <c r="R53" s="15">
        <v>0</v>
      </c>
      <c r="S53" s="15">
        <f t="shared" si="1"/>
        <v>0</v>
      </c>
      <c r="T53" s="16"/>
      <c r="U53" s="26"/>
    </row>
    <row r="54" spans="1:23" x14ac:dyDescent="0.25">
      <c r="A54" s="28" t="s">
        <v>37</v>
      </c>
      <c r="B54" s="28" t="s">
        <v>269</v>
      </c>
      <c r="C54" s="28" t="s">
        <v>270</v>
      </c>
      <c r="D54" s="28" t="s">
        <v>81</v>
      </c>
      <c r="E54" s="28" t="s">
        <v>82</v>
      </c>
      <c r="F54" s="28" t="s">
        <v>92</v>
      </c>
      <c r="G54" s="28" t="s">
        <v>93</v>
      </c>
      <c r="H54" s="28" t="s">
        <v>85</v>
      </c>
      <c r="I54" s="28" t="s">
        <v>40</v>
      </c>
      <c r="J54" s="28" t="s">
        <v>38</v>
      </c>
      <c r="K54" s="28" t="s">
        <v>293</v>
      </c>
      <c r="L54" s="29">
        <v>-2815</v>
      </c>
      <c r="M54" s="29">
        <v>0</v>
      </c>
      <c r="N54" s="29">
        <v>0</v>
      </c>
      <c r="O54" s="29">
        <v>-2815</v>
      </c>
      <c r="P54" s="29">
        <v>-2815</v>
      </c>
      <c r="Q54" s="29">
        <v>0</v>
      </c>
      <c r="R54" s="15">
        <v>0</v>
      </c>
      <c r="S54" s="15">
        <f t="shared" si="1"/>
        <v>0</v>
      </c>
      <c r="T54" s="16"/>
      <c r="U54" s="16"/>
    </row>
    <row r="55" spans="1:23" x14ac:dyDescent="0.25">
      <c r="A55" s="16" t="s">
        <v>37</v>
      </c>
      <c r="B55" s="16" t="s">
        <v>257</v>
      </c>
      <c r="C55" s="16" t="s">
        <v>258</v>
      </c>
      <c r="D55" s="16" t="s">
        <v>81</v>
      </c>
      <c r="E55" s="16" t="s">
        <v>82</v>
      </c>
      <c r="F55" s="16" t="s">
        <v>92</v>
      </c>
      <c r="G55" s="16" t="s">
        <v>93</v>
      </c>
      <c r="H55" s="16" t="s">
        <v>85</v>
      </c>
      <c r="I55" s="16" t="s">
        <v>40</v>
      </c>
      <c r="J55" s="16" t="s">
        <v>38</v>
      </c>
      <c r="K55" s="16" t="s">
        <v>293</v>
      </c>
      <c r="L55" s="15">
        <v>5.270794645184651E-8</v>
      </c>
      <c r="M55" s="15">
        <v>0</v>
      </c>
      <c r="N55" s="15">
        <v>0</v>
      </c>
      <c r="O55" s="15">
        <v>5.270794645184651E-8</v>
      </c>
      <c r="P55" s="15">
        <v>0</v>
      </c>
      <c r="Q55" s="15">
        <f t="shared" si="0"/>
        <v>0</v>
      </c>
      <c r="R55" s="15">
        <v>0</v>
      </c>
      <c r="S55" s="15">
        <f t="shared" si="1"/>
        <v>0</v>
      </c>
      <c r="T55" s="16"/>
      <c r="U55" s="26"/>
    </row>
    <row r="56" spans="1:23" x14ac:dyDescent="0.25">
      <c r="A56" s="28" t="s">
        <v>37</v>
      </c>
      <c r="B56" s="28" t="s">
        <v>269</v>
      </c>
      <c r="C56" s="28" t="s">
        <v>270</v>
      </c>
      <c r="D56" s="28" t="s">
        <v>81</v>
      </c>
      <c r="E56" s="28" t="s">
        <v>82</v>
      </c>
      <c r="F56" s="28" t="s">
        <v>94</v>
      </c>
      <c r="G56" s="28" t="s">
        <v>95</v>
      </c>
      <c r="H56" s="28" t="s">
        <v>85</v>
      </c>
      <c r="I56" s="28" t="s">
        <v>40</v>
      </c>
      <c r="J56" s="28" t="s">
        <v>38</v>
      </c>
      <c r="K56" s="28" t="s">
        <v>293</v>
      </c>
      <c r="L56" s="29">
        <v>-36854.999999999993</v>
      </c>
      <c r="M56" s="29">
        <v>0</v>
      </c>
      <c r="N56" s="29">
        <v>0</v>
      </c>
      <c r="O56" s="29">
        <v>-36854.999999999993</v>
      </c>
      <c r="P56" s="29">
        <v>-36854.999999999993</v>
      </c>
      <c r="Q56" s="29">
        <v>0</v>
      </c>
      <c r="R56" s="15">
        <v>0</v>
      </c>
      <c r="S56" s="15">
        <f t="shared" si="1"/>
        <v>0</v>
      </c>
      <c r="T56" s="16"/>
      <c r="U56" s="16"/>
    </row>
    <row r="57" spans="1:23" x14ac:dyDescent="0.25">
      <c r="A57" s="16" t="s">
        <v>37</v>
      </c>
      <c r="B57" s="16" t="s">
        <v>257</v>
      </c>
      <c r="C57" s="16" t="s">
        <v>258</v>
      </c>
      <c r="D57" s="16" t="s">
        <v>81</v>
      </c>
      <c r="E57" s="16" t="s">
        <v>82</v>
      </c>
      <c r="F57" s="16" t="s">
        <v>94</v>
      </c>
      <c r="G57" s="16" t="s">
        <v>95</v>
      </c>
      <c r="H57" s="16" t="s">
        <v>85</v>
      </c>
      <c r="I57" s="16" t="s">
        <v>40</v>
      </c>
      <c r="J57" s="16" t="s">
        <v>38</v>
      </c>
      <c r="K57" s="16" t="s">
        <v>293</v>
      </c>
      <c r="L57" s="15">
        <v>-4081.2499993099336</v>
      </c>
      <c r="M57" s="15">
        <v>0</v>
      </c>
      <c r="N57" s="15">
        <v>-4081.25</v>
      </c>
      <c r="O57" s="15">
        <v>6.9006637204438448E-7</v>
      </c>
      <c r="P57" s="15">
        <v>0</v>
      </c>
      <c r="Q57" s="15">
        <f t="shared" si="0"/>
        <v>0</v>
      </c>
      <c r="R57" s="15">
        <v>0</v>
      </c>
      <c r="S57" s="15">
        <f t="shared" si="1"/>
        <v>0</v>
      </c>
      <c r="T57" s="16"/>
      <c r="U57" s="26"/>
    </row>
    <row r="58" spans="1:23" x14ac:dyDescent="0.25">
      <c r="A58" s="28" t="s">
        <v>37</v>
      </c>
      <c r="B58" s="28" t="s">
        <v>269</v>
      </c>
      <c r="C58" s="28" t="s">
        <v>270</v>
      </c>
      <c r="D58" s="28" t="s">
        <v>81</v>
      </c>
      <c r="E58" s="28" t="s">
        <v>82</v>
      </c>
      <c r="F58" s="28" t="s">
        <v>96</v>
      </c>
      <c r="G58" s="28" t="s">
        <v>97</v>
      </c>
      <c r="H58" s="28" t="s">
        <v>85</v>
      </c>
      <c r="I58" s="28" t="s">
        <v>40</v>
      </c>
      <c r="J58" s="28" t="s">
        <v>38</v>
      </c>
      <c r="K58" s="28" t="s">
        <v>293</v>
      </c>
      <c r="L58" s="29">
        <v>-1277.0000000000002</v>
      </c>
      <c r="M58" s="29">
        <v>0</v>
      </c>
      <c r="N58" s="29">
        <v>0</v>
      </c>
      <c r="O58" s="29">
        <v>-1277.0000000000002</v>
      </c>
      <c r="P58" s="29">
        <v>-1277.0000000000002</v>
      </c>
      <c r="Q58" s="29">
        <v>0</v>
      </c>
      <c r="R58" s="15">
        <v>0</v>
      </c>
      <c r="S58" s="15">
        <f t="shared" si="1"/>
        <v>0</v>
      </c>
      <c r="T58" s="16"/>
      <c r="U58" s="16"/>
    </row>
    <row r="59" spans="1:23" x14ac:dyDescent="0.25">
      <c r="A59" s="16" t="s">
        <v>37</v>
      </c>
      <c r="B59" s="16" t="s">
        <v>257</v>
      </c>
      <c r="C59" s="16" t="s">
        <v>258</v>
      </c>
      <c r="D59" s="16" t="s">
        <v>81</v>
      </c>
      <c r="E59" s="16" t="s">
        <v>82</v>
      </c>
      <c r="F59" s="16" t="s">
        <v>96</v>
      </c>
      <c r="G59" s="16" t="s">
        <v>97</v>
      </c>
      <c r="H59" s="16" t="s">
        <v>85</v>
      </c>
      <c r="I59" s="16" t="s">
        <v>40</v>
      </c>
      <c r="J59" s="16" t="s">
        <v>38</v>
      </c>
      <c r="K59" s="16" t="s">
        <v>293</v>
      </c>
      <c r="L59" s="15">
        <v>-4081.2499999760903</v>
      </c>
      <c r="M59" s="15">
        <v>0</v>
      </c>
      <c r="N59" s="15">
        <v>-4081.25</v>
      </c>
      <c r="O59" s="15">
        <v>2.390970621490851E-8</v>
      </c>
      <c r="P59" s="15">
        <v>0</v>
      </c>
      <c r="Q59" s="15">
        <f t="shared" si="0"/>
        <v>0</v>
      </c>
      <c r="R59" s="15">
        <v>0</v>
      </c>
      <c r="S59" s="15">
        <f t="shared" si="1"/>
        <v>0</v>
      </c>
      <c r="T59" s="16"/>
      <c r="U59" s="26"/>
    </row>
    <row r="60" spans="1:23" x14ac:dyDescent="0.25">
      <c r="A60" s="28" t="s">
        <v>37</v>
      </c>
      <c r="B60" s="28" t="s">
        <v>269</v>
      </c>
      <c r="C60" s="28" t="s">
        <v>270</v>
      </c>
      <c r="D60" s="28" t="s">
        <v>81</v>
      </c>
      <c r="E60" s="28" t="s">
        <v>82</v>
      </c>
      <c r="F60" s="28" t="s">
        <v>98</v>
      </c>
      <c r="G60" s="28" t="s">
        <v>99</v>
      </c>
      <c r="H60" s="28" t="s">
        <v>85</v>
      </c>
      <c r="I60" s="28" t="s">
        <v>40</v>
      </c>
      <c r="J60" s="28" t="s">
        <v>38</v>
      </c>
      <c r="K60" s="28" t="s">
        <v>293</v>
      </c>
      <c r="L60" s="29">
        <v>-1354.0000000000002</v>
      </c>
      <c r="M60" s="29">
        <v>0</v>
      </c>
      <c r="N60" s="29">
        <v>0</v>
      </c>
      <c r="O60" s="29">
        <v>-1354.0000000000002</v>
      </c>
      <c r="P60" s="29">
        <v>-1354.0000000000002</v>
      </c>
      <c r="Q60" s="29">
        <v>0</v>
      </c>
      <c r="R60" s="15">
        <v>0</v>
      </c>
      <c r="S60" s="15">
        <f t="shared" si="1"/>
        <v>0</v>
      </c>
      <c r="T60" s="16"/>
      <c r="U60" s="16"/>
    </row>
    <row r="61" spans="1:23" x14ac:dyDescent="0.25">
      <c r="A61" s="16" t="s">
        <v>37</v>
      </c>
      <c r="B61" s="16" t="s">
        <v>257</v>
      </c>
      <c r="C61" s="16" t="s">
        <v>258</v>
      </c>
      <c r="D61" s="16" t="s">
        <v>81</v>
      </c>
      <c r="E61" s="16" t="s">
        <v>82</v>
      </c>
      <c r="F61" s="16" t="s">
        <v>98</v>
      </c>
      <c r="G61" s="16" t="s">
        <v>99</v>
      </c>
      <c r="H61" s="16" t="s">
        <v>85</v>
      </c>
      <c r="I61" s="16" t="s">
        <v>40</v>
      </c>
      <c r="J61" s="16" t="s">
        <v>38</v>
      </c>
      <c r="K61" s="16" t="s">
        <v>293</v>
      </c>
      <c r="L61" s="15">
        <v>-4081.2499999746478</v>
      </c>
      <c r="M61" s="15">
        <v>0</v>
      </c>
      <c r="N61" s="15">
        <v>-4081.25</v>
      </c>
      <c r="O61" s="15">
        <v>2.5351937438244931E-8</v>
      </c>
      <c r="P61" s="15">
        <v>0</v>
      </c>
      <c r="Q61" s="15">
        <f t="shared" si="0"/>
        <v>0</v>
      </c>
      <c r="R61" s="15">
        <v>0</v>
      </c>
      <c r="S61" s="15">
        <f t="shared" si="1"/>
        <v>0</v>
      </c>
      <c r="T61" s="16"/>
      <c r="U61" s="26"/>
    </row>
    <row r="62" spans="1:23" x14ac:dyDescent="0.25">
      <c r="A62" s="28" t="s">
        <v>37</v>
      </c>
      <c r="B62" s="28" t="s">
        <v>269</v>
      </c>
      <c r="C62" s="28" t="s">
        <v>270</v>
      </c>
      <c r="D62" s="28" t="s">
        <v>100</v>
      </c>
      <c r="E62" s="28" t="s">
        <v>101</v>
      </c>
      <c r="F62" s="28" t="s">
        <v>102</v>
      </c>
      <c r="G62" s="28" t="s">
        <v>103</v>
      </c>
      <c r="H62" s="28" t="s">
        <v>85</v>
      </c>
      <c r="I62" s="28" t="s">
        <v>40</v>
      </c>
      <c r="J62" s="28"/>
      <c r="K62" s="28" t="s">
        <v>293</v>
      </c>
      <c r="L62" s="29">
        <v>0</v>
      </c>
      <c r="M62" s="29">
        <v>0</v>
      </c>
      <c r="N62" s="29">
        <v>0</v>
      </c>
      <c r="O62" s="29">
        <v>0</v>
      </c>
      <c r="P62" s="29">
        <v>0</v>
      </c>
      <c r="Q62" s="30">
        <f>P46+P52+P54+P58+P60-175</f>
        <v>-9420</v>
      </c>
      <c r="R62" s="15">
        <v>0</v>
      </c>
      <c r="S62" s="15">
        <f t="shared" si="1"/>
        <v>-9420</v>
      </c>
      <c r="T62" s="16"/>
      <c r="U62" s="16"/>
      <c r="V62">
        <v>9419.99</v>
      </c>
      <c r="W62" s="4" t="s">
        <v>306</v>
      </c>
    </row>
    <row r="63" spans="1:23" x14ac:dyDescent="0.25">
      <c r="A63" s="16" t="s">
        <v>37</v>
      </c>
      <c r="B63" s="16" t="s">
        <v>257</v>
      </c>
      <c r="C63" s="16" t="s">
        <v>258</v>
      </c>
      <c r="D63" s="16" t="s">
        <v>100</v>
      </c>
      <c r="E63" s="16" t="s">
        <v>101</v>
      </c>
      <c r="F63" s="16" t="s">
        <v>102</v>
      </c>
      <c r="G63" s="16" t="s">
        <v>103</v>
      </c>
      <c r="H63" s="16" t="s">
        <v>85</v>
      </c>
      <c r="I63" s="16" t="s">
        <v>40</v>
      </c>
      <c r="J63" s="16"/>
      <c r="K63" s="16" t="s">
        <v>293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20">
        <f>P48+P51+P56+175+P454+P457+P459+P372+P386</f>
        <v>-480640.21796313563</v>
      </c>
      <c r="R63" s="15"/>
      <c r="S63" s="15">
        <f t="shared" si="1"/>
        <v>-480640.21796313563</v>
      </c>
      <c r="T63" s="16"/>
      <c r="U63" s="26"/>
    </row>
    <row r="64" spans="1:23" x14ac:dyDescent="0.25">
      <c r="A64" s="28" t="s">
        <v>37</v>
      </c>
      <c r="B64" s="28" t="s">
        <v>269</v>
      </c>
      <c r="C64" s="28" t="s">
        <v>270</v>
      </c>
      <c r="D64" s="28" t="s">
        <v>104</v>
      </c>
      <c r="E64" s="28" t="s">
        <v>105</v>
      </c>
      <c r="F64" s="28" t="s">
        <v>106</v>
      </c>
      <c r="G64" s="28" t="s">
        <v>107</v>
      </c>
      <c r="H64" s="28" t="s">
        <v>85</v>
      </c>
      <c r="I64" s="28" t="s">
        <v>40</v>
      </c>
      <c r="J64" s="28" t="s">
        <v>38</v>
      </c>
      <c r="K64" s="28" t="s">
        <v>293</v>
      </c>
      <c r="L64" s="29">
        <v>-25388.09490969593</v>
      </c>
      <c r="M64" s="29">
        <v>0</v>
      </c>
      <c r="N64" s="29">
        <v>-10160.923325252264</v>
      </c>
      <c r="O64" s="29">
        <v>-15227.171584443673</v>
      </c>
      <c r="P64" s="29">
        <v>-15227.171584443673</v>
      </c>
      <c r="Q64" s="29">
        <f>P64+15227</f>
        <v>-0.17158444367305492</v>
      </c>
      <c r="R64" s="15">
        <v>0</v>
      </c>
      <c r="S64" s="15">
        <f t="shared" si="1"/>
        <v>-0.17158444367305492</v>
      </c>
      <c r="T64" s="16"/>
      <c r="U64" s="16"/>
    </row>
    <row r="65" spans="1:21" x14ac:dyDescent="0.25">
      <c r="A65" s="16" t="s">
        <v>37</v>
      </c>
      <c r="B65" s="16" t="s">
        <v>257</v>
      </c>
      <c r="C65" s="16" t="s">
        <v>258</v>
      </c>
      <c r="D65" s="16" t="s">
        <v>104</v>
      </c>
      <c r="E65" s="16" t="s">
        <v>105</v>
      </c>
      <c r="F65" s="16" t="s">
        <v>106</v>
      </c>
      <c r="G65" s="16" t="s">
        <v>107</v>
      </c>
      <c r="H65" s="16" t="s">
        <v>85</v>
      </c>
      <c r="I65" s="16" t="s">
        <v>40</v>
      </c>
      <c r="J65" s="16" t="s">
        <v>38</v>
      </c>
      <c r="K65" s="16" t="s">
        <v>293</v>
      </c>
      <c r="L65" s="15">
        <v>-185112.60506771953</v>
      </c>
      <c r="M65" s="15">
        <v>-51088.201000000001</v>
      </c>
      <c r="N65" s="15">
        <v>-201375.31276204844</v>
      </c>
      <c r="O65" s="15">
        <v>16262.707694328878</v>
      </c>
      <c r="P65" s="15">
        <f>O65</f>
        <v>16262.707694328878</v>
      </c>
      <c r="Q65" s="15">
        <f>P65+P64</f>
        <v>1035.5361098852045</v>
      </c>
      <c r="R65" s="15">
        <v>0</v>
      </c>
      <c r="S65" s="15">
        <f t="shared" si="1"/>
        <v>1035.5361098852045</v>
      </c>
      <c r="T65" s="16"/>
      <c r="U65" s="26"/>
    </row>
    <row r="66" spans="1:21" x14ac:dyDescent="0.25">
      <c r="A66" s="16" t="s">
        <v>37</v>
      </c>
      <c r="B66" s="16" t="s">
        <v>257</v>
      </c>
      <c r="C66" s="16" t="s">
        <v>258</v>
      </c>
      <c r="D66" s="16" t="s">
        <v>104</v>
      </c>
      <c r="E66" s="16" t="s">
        <v>105</v>
      </c>
      <c r="F66" s="16" t="s">
        <v>106</v>
      </c>
      <c r="G66" s="16" t="s">
        <v>107</v>
      </c>
      <c r="H66" s="16" t="s">
        <v>85</v>
      </c>
      <c r="I66" s="16" t="s">
        <v>40</v>
      </c>
      <c r="J66" s="16" t="s">
        <v>296</v>
      </c>
      <c r="K66" s="16" t="s">
        <v>297</v>
      </c>
      <c r="L66" s="15">
        <v>-23367.251937199995</v>
      </c>
      <c r="M66" s="15">
        <v>-4006.326</v>
      </c>
      <c r="N66" s="15">
        <v>-16620.764179999998</v>
      </c>
      <c r="O66" s="15">
        <v>-6746.4877572000005</v>
      </c>
      <c r="P66" s="15">
        <v>-6746.4877572000005</v>
      </c>
      <c r="Q66" s="15">
        <f t="shared" si="0"/>
        <v>-6746.4877572000005</v>
      </c>
      <c r="R66" s="15">
        <v>0</v>
      </c>
      <c r="S66" s="15">
        <f t="shared" si="1"/>
        <v>-6746.4877572000005</v>
      </c>
      <c r="T66" s="16"/>
      <c r="U66" s="26"/>
    </row>
    <row r="67" spans="1:21" x14ac:dyDescent="0.25">
      <c r="A67" s="16" t="s">
        <v>37</v>
      </c>
      <c r="B67" s="16" t="s">
        <v>257</v>
      </c>
      <c r="C67" s="16" t="s">
        <v>258</v>
      </c>
      <c r="D67" s="16" t="s">
        <v>104</v>
      </c>
      <c r="E67" s="16" t="s">
        <v>105</v>
      </c>
      <c r="F67" s="16" t="s">
        <v>106</v>
      </c>
      <c r="G67" s="16" t="s">
        <v>107</v>
      </c>
      <c r="H67" s="16" t="s">
        <v>85</v>
      </c>
      <c r="I67" s="16" t="s">
        <v>40</v>
      </c>
      <c r="J67" s="16" t="s">
        <v>298</v>
      </c>
      <c r="K67" s="16" t="s">
        <v>299</v>
      </c>
      <c r="L67" s="15">
        <v>-2798.4853709677418</v>
      </c>
      <c r="M67" s="15">
        <v>0</v>
      </c>
      <c r="N67" s="15">
        <v>-1106.0646860174002</v>
      </c>
      <c r="O67" s="15">
        <v>-1692.4206849503421</v>
      </c>
      <c r="P67" s="15">
        <v>-1692.4206849503421</v>
      </c>
      <c r="Q67" s="15">
        <f t="shared" si="0"/>
        <v>-1692.4206849503421</v>
      </c>
      <c r="R67" s="15">
        <v>0</v>
      </c>
      <c r="S67" s="15">
        <f t="shared" si="1"/>
        <v>-1692.4206849503421</v>
      </c>
      <c r="T67" s="16"/>
      <c r="U67" s="26"/>
    </row>
    <row r="68" spans="1:21" x14ac:dyDescent="0.25">
      <c r="A68" s="16" t="s">
        <v>37</v>
      </c>
      <c r="B68" s="16" t="s">
        <v>269</v>
      </c>
      <c r="C68" s="16" t="s">
        <v>270</v>
      </c>
      <c r="D68" s="16" t="s">
        <v>104</v>
      </c>
      <c r="E68" s="16" t="s">
        <v>105</v>
      </c>
      <c r="F68" s="16" t="s">
        <v>106</v>
      </c>
      <c r="G68" s="16" t="s">
        <v>107</v>
      </c>
      <c r="H68" s="16" t="s">
        <v>85</v>
      </c>
      <c r="I68" s="16" t="s">
        <v>40</v>
      </c>
      <c r="J68" s="16" t="s">
        <v>62</v>
      </c>
      <c r="K68" s="16" t="s">
        <v>63</v>
      </c>
      <c r="L68" s="15">
        <v>-5327.4690000000001</v>
      </c>
      <c r="M68" s="15">
        <v>-5327.4690000000001</v>
      </c>
      <c r="N68" s="15">
        <v>-5327.4699927899983</v>
      </c>
      <c r="O68" s="15">
        <v>9.9278999800844758E-4</v>
      </c>
      <c r="P68" s="15">
        <v>0</v>
      </c>
      <c r="Q68" s="15">
        <f t="shared" si="0"/>
        <v>0</v>
      </c>
      <c r="R68" s="15">
        <v>0</v>
      </c>
      <c r="S68" s="15">
        <f t="shared" si="1"/>
        <v>0</v>
      </c>
      <c r="T68" s="16"/>
      <c r="U68" s="16"/>
    </row>
    <row r="69" spans="1:21" x14ac:dyDescent="0.25">
      <c r="A69" s="16" t="s">
        <v>37</v>
      </c>
      <c r="B69" s="16" t="s">
        <v>257</v>
      </c>
      <c r="C69" s="16" t="s">
        <v>258</v>
      </c>
      <c r="D69" s="16" t="s">
        <v>104</v>
      </c>
      <c r="E69" s="16" t="s">
        <v>105</v>
      </c>
      <c r="F69" s="16" t="s">
        <v>106</v>
      </c>
      <c r="G69" s="16" t="s">
        <v>107</v>
      </c>
      <c r="H69" s="16" t="s">
        <v>85</v>
      </c>
      <c r="I69" s="16" t="s">
        <v>40</v>
      </c>
      <c r="J69" s="16" t="s">
        <v>108</v>
      </c>
      <c r="K69" s="16" t="s">
        <v>109</v>
      </c>
      <c r="L69" s="15">
        <v>-80112.56</v>
      </c>
      <c r="M69" s="15">
        <v>-80112.56</v>
      </c>
      <c r="N69" s="15">
        <v>0</v>
      </c>
      <c r="O69" s="15">
        <v>-80112.56</v>
      </c>
      <c r="P69" s="15">
        <v>0</v>
      </c>
      <c r="Q69" s="15">
        <f t="shared" ref="Q69:Q132" si="2">P69-R69</f>
        <v>0</v>
      </c>
      <c r="R69" s="15">
        <v>0</v>
      </c>
      <c r="S69" s="15">
        <f t="shared" ref="S69:S132" si="3">SUM(Q69:R69)</f>
        <v>0</v>
      </c>
      <c r="T69" s="16"/>
      <c r="U69" s="15">
        <v>-80113</v>
      </c>
    </row>
    <row r="70" spans="1:21" x14ac:dyDescent="0.25">
      <c r="A70" s="28" t="s">
        <v>37</v>
      </c>
      <c r="B70" s="28" t="s">
        <v>269</v>
      </c>
      <c r="C70" s="28" t="s">
        <v>270</v>
      </c>
      <c r="D70" s="28" t="s">
        <v>104</v>
      </c>
      <c r="E70" s="28" t="s">
        <v>105</v>
      </c>
      <c r="F70" s="28" t="s">
        <v>110</v>
      </c>
      <c r="G70" s="28" t="s">
        <v>111</v>
      </c>
      <c r="H70" s="28" t="s">
        <v>85</v>
      </c>
      <c r="I70" s="28" t="s">
        <v>40</v>
      </c>
      <c r="J70" s="28" t="s">
        <v>38</v>
      </c>
      <c r="K70" s="28" t="s">
        <v>293</v>
      </c>
      <c r="L70" s="29">
        <v>-13076.404840559839</v>
      </c>
      <c r="M70" s="29">
        <v>0</v>
      </c>
      <c r="N70" s="29">
        <v>-3756.9800530344501</v>
      </c>
      <c r="O70" s="29">
        <v>-9319.4247875253895</v>
      </c>
      <c r="P70" s="29">
        <v>-9319.4247875253895</v>
      </c>
      <c r="Q70" s="29">
        <f>P70-R70+9319</f>
        <v>-0.42478752538954723</v>
      </c>
      <c r="R70" s="15">
        <v>0</v>
      </c>
      <c r="S70" s="15">
        <f t="shared" si="3"/>
        <v>-0.42478752538954723</v>
      </c>
      <c r="T70" s="16"/>
      <c r="U70" s="16"/>
    </row>
    <row r="71" spans="1:21" x14ac:dyDescent="0.25">
      <c r="A71" s="16" t="s">
        <v>37</v>
      </c>
      <c r="B71" s="16" t="s">
        <v>257</v>
      </c>
      <c r="C71" s="16" t="s">
        <v>258</v>
      </c>
      <c r="D71" s="16" t="s">
        <v>104</v>
      </c>
      <c r="E71" s="16" t="s">
        <v>105</v>
      </c>
      <c r="F71" s="16" t="s">
        <v>110</v>
      </c>
      <c r="G71" s="16" t="s">
        <v>111</v>
      </c>
      <c r="H71" s="16" t="s">
        <v>85</v>
      </c>
      <c r="I71" s="16" t="s">
        <v>40</v>
      </c>
      <c r="J71" s="16" t="s">
        <v>38</v>
      </c>
      <c r="K71" s="16" t="s">
        <v>293</v>
      </c>
      <c r="L71" s="15">
        <v>-53622.926968467655</v>
      </c>
      <c r="M71" s="15">
        <v>-15722.571599999999</v>
      </c>
      <c r="N71" s="15">
        <v>-70572.762759694189</v>
      </c>
      <c r="O71" s="15">
        <v>16949.835791226535</v>
      </c>
      <c r="P71" s="15">
        <f>O71</f>
        <v>16949.835791226535</v>
      </c>
      <c r="Q71" s="15">
        <f>P71-R71+P70</f>
        <v>7630.4110037011451</v>
      </c>
      <c r="R71" s="15">
        <v>0</v>
      </c>
      <c r="S71" s="15">
        <f t="shared" si="3"/>
        <v>7630.4110037011451</v>
      </c>
      <c r="T71" s="16"/>
      <c r="U71" s="26"/>
    </row>
    <row r="72" spans="1:21" x14ac:dyDescent="0.25">
      <c r="A72" s="16" t="s">
        <v>37</v>
      </c>
      <c r="B72" s="16" t="s">
        <v>257</v>
      </c>
      <c r="C72" s="16" t="s">
        <v>258</v>
      </c>
      <c r="D72" s="16" t="s">
        <v>104</v>
      </c>
      <c r="E72" s="16" t="s">
        <v>105</v>
      </c>
      <c r="F72" s="16" t="s">
        <v>110</v>
      </c>
      <c r="G72" s="16" t="s">
        <v>111</v>
      </c>
      <c r="H72" s="16" t="s">
        <v>85</v>
      </c>
      <c r="I72" s="16" t="s">
        <v>40</v>
      </c>
      <c r="J72" s="16" t="s">
        <v>296</v>
      </c>
      <c r="K72" s="16" t="s">
        <v>297</v>
      </c>
      <c r="L72" s="15">
        <v>-11683.625968599998</v>
      </c>
      <c r="M72" s="15">
        <v>-2003.163</v>
      </c>
      <c r="N72" s="15">
        <v>-8310.3820899999992</v>
      </c>
      <c r="O72" s="15">
        <v>-3373.2438785999993</v>
      </c>
      <c r="P72" s="15">
        <v>-3373.2438785999993</v>
      </c>
      <c r="Q72" s="15">
        <f t="shared" si="2"/>
        <v>-3373.2438785999993</v>
      </c>
      <c r="R72" s="15">
        <v>0</v>
      </c>
      <c r="S72" s="15">
        <f t="shared" si="3"/>
        <v>-3373.2438785999993</v>
      </c>
      <c r="T72" s="16"/>
      <c r="U72" s="26"/>
    </row>
    <row r="73" spans="1:21" x14ac:dyDescent="0.25">
      <c r="A73" s="16" t="s">
        <v>37</v>
      </c>
      <c r="B73" s="16" t="s">
        <v>257</v>
      </c>
      <c r="C73" s="16" t="s">
        <v>258</v>
      </c>
      <c r="D73" s="16" t="s">
        <v>104</v>
      </c>
      <c r="E73" s="16" t="s">
        <v>105</v>
      </c>
      <c r="F73" s="16" t="s">
        <v>110</v>
      </c>
      <c r="G73" s="16" t="s">
        <v>111</v>
      </c>
      <c r="H73" s="16" t="s">
        <v>85</v>
      </c>
      <c r="I73" s="16" t="s">
        <v>40</v>
      </c>
      <c r="J73" s="16" t="s">
        <v>298</v>
      </c>
      <c r="K73" s="16" t="s">
        <v>299</v>
      </c>
      <c r="L73" s="15">
        <v>-891.51933548387092</v>
      </c>
      <c r="M73" s="15">
        <v>0</v>
      </c>
      <c r="N73" s="15">
        <v>-352.41956511939998</v>
      </c>
      <c r="O73" s="15">
        <v>-539.09977036447083</v>
      </c>
      <c r="P73" s="15">
        <v>-539.09977036447083</v>
      </c>
      <c r="Q73" s="15">
        <f t="shared" si="2"/>
        <v>-539.09977036447083</v>
      </c>
      <c r="R73" s="15">
        <v>0</v>
      </c>
      <c r="S73" s="15">
        <f t="shared" si="3"/>
        <v>-539.09977036447083</v>
      </c>
      <c r="T73" s="16"/>
      <c r="U73" s="26"/>
    </row>
    <row r="74" spans="1:21" x14ac:dyDescent="0.25">
      <c r="A74" s="16" t="s">
        <v>37</v>
      </c>
      <c r="B74" s="16" t="s">
        <v>269</v>
      </c>
      <c r="C74" s="16" t="s">
        <v>270</v>
      </c>
      <c r="D74" s="16" t="s">
        <v>104</v>
      </c>
      <c r="E74" s="16" t="s">
        <v>105</v>
      </c>
      <c r="F74" s="16" t="s">
        <v>110</v>
      </c>
      <c r="G74" s="16" t="s">
        <v>111</v>
      </c>
      <c r="H74" s="16" t="s">
        <v>85</v>
      </c>
      <c r="I74" s="16" t="s">
        <v>40</v>
      </c>
      <c r="J74" s="16" t="s">
        <v>62</v>
      </c>
      <c r="K74" s="16" t="s">
        <v>63</v>
      </c>
      <c r="L74" s="15">
        <v>-1396.521</v>
      </c>
      <c r="M74" s="15">
        <v>-1396.521</v>
      </c>
      <c r="N74" s="15">
        <v>-1396.5199981100013</v>
      </c>
      <c r="O74" s="15">
        <v>-1.0018899987471741E-3</v>
      </c>
      <c r="P74" s="15">
        <v>0</v>
      </c>
      <c r="Q74" s="15">
        <f t="shared" si="2"/>
        <v>0</v>
      </c>
      <c r="R74" s="15">
        <v>0</v>
      </c>
      <c r="S74" s="15">
        <f t="shared" si="3"/>
        <v>0</v>
      </c>
      <c r="T74" s="16"/>
      <c r="U74" s="16"/>
    </row>
    <row r="75" spans="1:21" x14ac:dyDescent="0.25">
      <c r="A75" s="16" t="s">
        <v>37</v>
      </c>
      <c r="B75" s="16" t="s">
        <v>257</v>
      </c>
      <c r="C75" s="16" t="s">
        <v>258</v>
      </c>
      <c r="D75" s="16" t="s">
        <v>104</v>
      </c>
      <c r="E75" s="16" t="s">
        <v>105</v>
      </c>
      <c r="F75" s="16" t="s">
        <v>112</v>
      </c>
      <c r="G75" s="16" t="s">
        <v>113</v>
      </c>
      <c r="H75" s="16" t="s">
        <v>85</v>
      </c>
      <c r="I75" s="16" t="s">
        <v>40</v>
      </c>
      <c r="J75" s="16" t="s">
        <v>38</v>
      </c>
      <c r="K75" s="16" t="s">
        <v>293</v>
      </c>
      <c r="L75" s="15">
        <v>-63173.983454961955</v>
      </c>
      <c r="M75" s="15">
        <v>-22690.067800000001</v>
      </c>
      <c r="N75" s="15">
        <v>-90639.813586714197</v>
      </c>
      <c r="O75" s="15">
        <v>27465.830131752235</v>
      </c>
      <c r="P75" s="15">
        <f>O75</f>
        <v>27465.830131752235</v>
      </c>
      <c r="Q75" s="15">
        <f>P75-R75+P76</f>
        <v>19552.968502184205</v>
      </c>
      <c r="R75" s="15">
        <v>0</v>
      </c>
      <c r="S75" s="15">
        <f t="shared" si="3"/>
        <v>19552.968502184205</v>
      </c>
      <c r="T75" s="16"/>
      <c r="U75" s="26"/>
    </row>
    <row r="76" spans="1:21" x14ac:dyDescent="0.25">
      <c r="A76" s="28" t="s">
        <v>37</v>
      </c>
      <c r="B76" s="28" t="s">
        <v>269</v>
      </c>
      <c r="C76" s="28" t="s">
        <v>270</v>
      </c>
      <c r="D76" s="28" t="s">
        <v>104</v>
      </c>
      <c r="E76" s="28" t="s">
        <v>105</v>
      </c>
      <c r="F76" s="28" t="s">
        <v>112</v>
      </c>
      <c r="G76" s="28" t="s">
        <v>113</v>
      </c>
      <c r="H76" s="28" t="s">
        <v>85</v>
      </c>
      <c r="I76" s="28" t="s">
        <v>40</v>
      </c>
      <c r="J76" s="28" t="s">
        <v>38</v>
      </c>
      <c r="K76" s="28" t="s">
        <v>293</v>
      </c>
      <c r="L76" s="29">
        <v>-12609.086695861093</v>
      </c>
      <c r="M76" s="29">
        <v>0</v>
      </c>
      <c r="N76" s="29">
        <v>-4696.2250662930628</v>
      </c>
      <c r="O76" s="29">
        <v>-7912.8616295680304</v>
      </c>
      <c r="P76" s="29">
        <v>-7912.8616295680304</v>
      </c>
      <c r="Q76" s="29">
        <f>P76-R76+7913</f>
        <v>0.1383704319696335</v>
      </c>
      <c r="R76" s="15">
        <v>0</v>
      </c>
      <c r="S76" s="15">
        <f t="shared" si="3"/>
        <v>0.1383704319696335</v>
      </c>
      <c r="T76" s="16"/>
      <c r="U76" s="16"/>
    </row>
    <row r="77" spans="1:21" x14ac:dyDescent="0.25">
      <c r="A77" s="16" t="s">
        <v>37</v>
      </c>
      <c r="B77" s="16" t="s">
        <v>257</v>
      </c>
      <c r="C77" s="16" t="s">
        <v>258</v>
      </c>
      <c r="D77" s="16" t="s">
        <v>104</v>
      </c>
      <c r="E77" s="16" t="s">
        <v>105</v>
      </c>
      <c r="F77" s="16" t="s">
        <v>112</v>
      </c>
      <c r="G77" s="16" t="s">
        <v>113</v>
      </c>
      <c r="H77" s="16" t="s">
        <v>85</v>
      </c>
      <c r="I77" s="16" t="s">
        <v>40</v>
      </c>
      <c r="J77" s="16" t="s">
        <v>296</v>
      </c>
      <c r="K77" s="16" t="s">
        <v>297</v>
      </c>
      <c r="L77" s="15">
        <v>-2976.7199920000003</v>
      </c>
      <c r="M77" s="15">
        <v>-510.36</v>
      </c>
      <c r="N77" s="15">
        <v>-2117.2948000000001</v>
      </c>
      <c r="O77" s="15">
        <v>-859.42519200000015</v>
      </c>
      <c r="P77" s="15">
        <v>-859.42519200000015</v>
      </c>
      <c r="Q77" s="15">
        <f t="shared" si="2"/>
        <v>-859.42519200000015</v>
      </c>
      <c r="R77" s="15">
        <v>0</v>
      </c>
      <c r="S77" s="15">
        <f t="shared" si="3"/>
        <v>-859.42519200000015</v>
      </c>
      <c r="T77" s="16"/>
      <c r="U77" s="26"/>
    </row>
    <row r="78" spans="1:21" x14ac:dyDescent="0.25">
      <c r="A78" s="16" t="s">
        <v>37</v>
      </c>
      <c r="B78" s="16" t="s">
        <v>257</v>
      </c>
      <c r="C78" s="16" t="s">
        <v>258</v>
      </c>
      <c r="D78" s="16" t="s">
        <v>104</v>
      </c>
      <c r="E78" s="16" t="s">
        <v>105</v>
      </c>
      <c r="F78" s="16" t="s">
        <v>112</v>
      </c>
      <c r="G78" s="16" t="s">
        <v>113</v>
      </c>
      <c r="H78" s="16" t="s">
        <v>85</v>
      </c>
      <c r="I78" s="16" t="s">
        <v>40</v>
      </c>
      <c r="J78" s="16" t="s">
        <v>298</v>
      </c>
      <c r="K78" s="16" t="s">
        <v>299</v>
      </c>
      <c r="L78" s="15">
        <v>-1251.703635483871</v>
      </c>
      <c r="M78" s="15">
        <v>0</v>
      </c>
      <c r="N78" s="15">
        <v>-494.72302984300006</v>
      </c>
      <c r="O78" s="15">
        <v>-756.98060564087109</v>
      </c>
      <c r="P78" s="15">
        <v>-756.98060564087109</v>
      </c>
      <c r="Q78" s="15">
        <f t="shared" si="2"/>
        <v>-756.98060564087109</v>
      </c>
      <c r="R78" s="15">
        <v>0</v>
      </c>
      <c r="S78" s="15">
        <f t="shared" si="3"/>
        <v>-756.98060564087109</v>
      </c>
      <c r="T78" s="16"/>
      <c r="U78" s="26"/>
    </row>
    <row r="79" spans="1:21" x14ac:dyDescent="0.25">
      <c r="A79" s="16" t="s">
        <v>37</v>
      </c>
      <c r="B79" s="16" t="s">
        <v>257</v>
      </c>
      <c r="C79" s="16" t="s">
        <v>258</v>
      </c>
      <c r="D79" s="16" t="s">
        <v>104</v>
      </c>
      <c r="E79" s="16" t="s">
        <v>105</v>
      </c>
      <c r="F79" s="16" t="s">
        <v>112</v>
      </c>
      <c r="G79" s="16" t="s">
        <v>113</v>
      </c>
      <c r="H79" s="16" t="s">
        <v>85</v>
      </c>
      <c r="I79" s="16" t="s">
        <v>40</v>
      </c>
      <c r="J79" s="16" t="s">
        <v>114</v>
      </c>
      <c r="K79" s="16" t="s">
        <v>115</v>
      </c>
      <c r="L79" s="15">
        <v>-59999.829999999987</v>
      </c>
      <c r="M79" s="15">
        <v>-59999.829999999987</v>
      </c>
      <c r="N79" s="15">
        <v>0</v>
      </c>
      <c r="O79" s="15">
        <v>-59999.829999999987</v>
      </c>
      <c r="P79" s="15">
        <v>0</v>
      </c>
      <c r="Q79" s="15">
        <f t="shared" si="2"/>
        <v>0</v>
      </c>
      <c r="R79" s="15">
        <v>0</v>
      </c>
      <c r="S79" s="15">
        <f t="shared" si="3"/>
        <v>0</v>
      </c>
      <c r="T79" s="16"/>
      <c r="U79" s="15">
        <f>O79</f>
        <v>-59999.829999999987</v>
      </c>
    </row>
    <row r="80" spans="1:21" x14ac:dyDescent="0.25">
      <c r="A80" s="16" t="s">
        <v>37</v>
      </c>
      <c r="B80" s="16" t="s">
        <v>257</v>
      </c>
      <c r="C80" s="16" t="s">
        <v>258</v>
      </c>
      <c r="D80" s="16" t="s">
        <v>104</v>
      </c>
      <c r="E80" s="16" t="s">
        <v>105</v>
      </c>
      <c r="F80" s="16" t="s">
        <v>116</v>
      </c>
      <c r="G80" s="16" t="s">
        <v>117</v>
      </c>
      <c r="H80" s="16" t="s">
        <v>85</v>
      </c>
      <c r="I80" s="16" t="s">
        <v>40</v>
      </c>
      <c r="J80" s="16" t="s">
        <v>38</v>
      </c>
      <c r="K80" s="16" t="s">
        <v>293</v>
      </c>
      <c r="L80" s="15">
        <v>-551821.7503144138</v>
      </c>
      <c r="M80" s="15">
        <v>-28641.894</v>
      </c>
      <c r="N80" s="15">
        <v>-152426.30168518255</v>
      </c>
      <c r="O80" s="15">
        <v>-399395.44862923143</v>
      </c>
      <c r="P80" s="15">
        <v>-399395.44862923143</v>
      </c>
      <c r="Q80" s="15">
        <f>P80-R80+P81</f>
        <v>-430672.71112616372</v>
      </c>
      <c r="R80" s="15">
        <v>0</v>
      </c>
      <c r="S80" s="15">
        <f t="shared" si="3"/>
        <v>-430672.71112616372</v>
      </c>
      <c r="T80" s="16"/>
      <c r="U80" s="26"/>
    </row>
    <row r="81" spans="1:21" x14ac:dyDescent="0.25">
      <c r="A81" s="28" t="s">
        <v>37</v>
      </c>
      <c r="B81" s="28" t="s">
        <v>269</v>
      </c>
      <c r="C81" s="28" t="s">
        <v>270</v>
      </c>
      <c r="D81" s="28" t="s">
        <v>104</v>
      </c>
      <c r="E81" s="28" t="s">
        <v>105</v>
      </c>
      <c r="F81" s="28" t="s">
        <v>116</v>
      </c>
      <c r="G81" s="28" t="s">
        <v>117</v>
      </c>
      <c r="H81" s="28" t="s">
        <v>85</v>
      </c>
      <c r="I81" s="28" t="s">
        <v>40</v>
      </c>
      <c r="J81" s="28" t="s">
        <v>38</v>
      </c>
      <c r="K81" s="28" t="s">
        <v>293</v>
      </c>
      <c r="L81" s="29">
        <v>-36776.115120010014</v>
      </c>
      <c r="M81" s="29">
        <v>0</v>
      </c>
      <c r="N81" s="29">
        <v>-5498.8526230776961</v>
      </c>
      <c r="O81" s="29">
        <v>-31277.262496932319</v>
      </c>
      <c r="P81" s="29">
        <v>-31277.262496932319</v>
      </c>
      <c r="Q81" s="29">
        <f>P81-R81+31277</f>
        <v>-0.26249693231875426</v>
      </c>
      <c r="R81" s="15">
        <v>0</v>
      </c>
      <c r="S81" s="15">
        <f t="shared" si="3"/>
        <v>-0.26249693231875426</v>
      </c>
      <c r="T81" s="16"/>
      <c r="U81" s="16"/>
    </row>
    <row r="82" spans="1:21" x14ac:dyDescent="0.25">
      <c r="A82" s="16" t="s">
        <v>37</v>
      </c>
      <c r="B82" s="16" t="s">
        <v>257</v>
      </c>
      <c r="C82" s="16" t="s">
        <v>258</v>
      </c>
      <c r="D82" s="16" t="s">
        <v>104</v>
      </c>
      <c r="E82" s="16" t="s">
        <v>105</v>
      </c>
      <c r="F82" s="16" t="s">
        <v>116</v>
      </c>
      <c r="G82" s="16" t="s">
        <v>117</v>
      </c>
      <c r="H82" s="16" t="s">
        <v>85</v>
      </c>
      <c r="I82" s="16" t="s">
        <v>40</v>
      </c>
      <c r="J82" s="16" t="s">
        <v>296</v>
      </c>
      <c r="K82" s="16" t="s">
        <v>297</v>
      </c>
      <c r="L82" s="15">
        <v>-10195.2659726</v>
      </c>
      <c r="M82" s="15">
        <v>-1747.9829999999999</v>
      </c>
      <c r="N82" s="15">
        <v>-7251.7346899999993</v>
      </c>
      <c r="O82" s="15">
        <v>-2943.5312826000018</v>
      </c>
      <c r="P82" s="15">
        <v>-2943.5312826000018</v>
      </c>
      <c r="Q82" s="15">
        <f t="shared" si="2"/>
        <v>-2943.5312826000018</v>
      </c>
      <c r="R82" s="15">
        <v>0</v>
      </c>
      <c r="S82" s="15">
        <f t="shared" si="3"/>
        <v>-2943.5312826000018</v>
      </c>
      <c r="T82" s="16"/>
      <c r="U82" s="26"/>
    </row>
    <row r="83" spans="1:21" x14ac:dyDescent="0.25">
      <c r="A83" s="16" t="s">
        <v>37</v>
      </c>
      <c r="B83" s="16" t="s">
        <v>257</v>
      </c>
      <c r="C83" s="16" t="s">
        <v>258</v>
      </c>
      <c r="D83" s="16" t="s">
        <v>104</v>
      </c>
      <c r="E83" s="16" t="s">
        <v>105</v>
      </c>
      <c r="F83" s="16" t="s">
        <v>116</v>
      </c>
      <c r="G83" s="16" t="s">
        <v>117</v>
      </c>
      <c r="H83" s="16" t="s">
        <v>85</v>
      </c>
      <c r="I83" s="16" t="s">
        <v>40</v>
      </c>
      <c r="J83" s="16" t="s">
        <v>298</v>
      </c>
      <c r="K83" s="16" t="s">
        <v>299</v>
      </c>
      <c r="L83" s="15">
        <v>-151493.61123361596</v>
      </c>
      <c r="M83" s="15">
        <v>0</v>
      </c>
      <c r="N83" s="15">
        <v>-21609.366537652382</v>
      </c>
      <c r="O83" s="15">
        <v>-129884.24469596361</v>
      </c>
      <c r="P83" s="15">
        <v>-129884.24469596361</v>
      </c>
      <c r="Q83" s="15">
        <f t="shared" si="2"/>
        <v>-129884.24469596361</v>
      </c>
      <c r="R83" s="15">
        <v>0</v>
      </c>
      <c r="S83" s="15">
        <f t="shared" si="3"/>
        <v>-129884.24469596361</v>
      </c>
      <c r="T83" s="16"/>
      <c r="U83" s="26"/>
    </row>
    <row r="84" spans="1:21" x14ac:dyDescent="0.25">
      <c r="A84" s="16" t="s">
        <v>37</v>
      </c>
      <c r="B84" s="16" t="s">
        <v>269</v>
      </c>
      <c r="C84" s="16" t="s">
        <v>270</v>
      </c>
      <c r="D84" s="16" t="s">
        <v>104</v>
      </c>
      <c r="E84" s="16" t="s">
        <v>105</v>
      </c>
      <c r="F84" s="16" t="s">
        <v>116</v>
      </c>
      <c r="G84" s="16" t="s">
        <v>117</v>
      </c>
      <c r="H84" s="16" t="s">
        <v>85</v>
      </c>
      <c r="I84" s="16" t="s">
        <v>40</v>
      </c>
      <c r="J84" s="16" t="s">
        <v>62</v>
      </c>
      <c r="K84" s="16" t="s">
        <v>63</v>
      </c>
      <c r="L84" s="15">
        <v>-3524.5529999999994</v>
      </c>
      <c r="M84" s="15">
        <v>-3524.5529999999994</v>
      </c>
      <c r="N84" s="15">
        <v>-3524.5499952300042</v>
      </c>
      <c r="O84" s="15">
        <v>-3.004769995186507E-3</v>
      </c>
      <c r="P84" s="15">
        <v>0</v>
      </c>
      <c r="Q84" s="15">
        <f t="shared" si="2"/>
        <v>0</v>
      </c>
      <c r="R84" s="15">
        <v>0</v>
      </c>
      <c r="S84" s="15">
        <f t="shared" si="3"/>
        <v>0</v>
      </c>
      <c r="T84" s="16"/>
      <c r="U84" s="16"/>
    </row>
    <row r="85" spans="1:21" x14ac:dyDescent="0.25">
      <c r="A85" s="16" t="s">
        <v>37</v>
      </c>
      <c r="B85" s="16" t="s">
        <v>257</v>
      </c>
      <c r="C85" s="16" t="s">
        <v>258</v>
      </c>
      <c r="D85" s="16" t="s">
        <v>104</v>
      </c>
      <c r="E85" s="16" t="s">
        <v>105</v>
      </c>
      <c r="F85" s="16" t="s">
        <v>116</v>
      </c>
      <c r="G85" s="16" t="s">
        <v>117</v>
      </c>
      <c r="H85" s="16" t="s">
        <v>85</v>
      </c>
      <c r="I85" s="16" t="s">
        <v>40</v>
      </c>
      <c r="J85" s="16" t="s">
        <v>118</v>
      </c>
      <c r="K85" s="16" t="s">
        <v>119</v>
      </c>
      <c r="L85" s="15">
        <v>-4425.05</v>
      </c>
      <c r="M85" s="15">
        <v>0</v>
      </c>
      <c r="N85" s="15">
        <v>-4425.05</v>
      </c>
      <c r="O85" s="15">
        <v>0</v>
      </c>
      <c r="P85" s="15">
        <v>0</v>
      </c>
      <c r="Q85" s="15">
        <f t="shared" si="2"/>
        <v>0</v>
      </c>
      <c r="R85" s="15">
        <v>0</v>
      </c>
      <c r="S85" s="15">
        <f t="shared" si="3"/>
        <v>0</v>
      </c>
      <c r="T85" s="16"/>
      <c r="U85" s="26"/>
    </row>
    <row r="86" spans="1:21" x14ac:dyDescent="0.25">
      <c r="A86" s="16" t="s">
        <v>37</v>
      </c>
      <c r="B86" s="16" t="s">
        <v>257</v>
      </c>
      <c r="C86" s="16" t="s">
        <v>258</v>
      </c>
      <c r="D86" s="16" t="s">
        <v>104</v>
      </c>
      <c r="E86" s="16" t="s">
        <v>105</v>
      </c>
      <c r="F86" s="16" t="s">
        <v>120</v>
      </c>
      <c r="G86" s="16" t="s">
        <v>121</v>
      </c>
      <c r="H86" s="16" t="s">
        <v>85</v>
      </c>
      <c r="I86" s="16" t="s">
        <v>40</v>
      </c>
      <c r="J86" s="16" t="s">
        <v>38</v>
      </c>
      <c r="K86" s="16" t="s">
        <v>293</v>
      </c>
      <c r="L86" s="15">
        <v>-403940.27825639909</v>
      </c>
      <c r="M86" s="15">
        <v>-84991.265599999999</v>
      </c>
      <c r="N86" s="15">
        <v>-374755.67824867932</v>
      </c>
      <c r="O86" s="15">
        <v>-29184.600007719797</v>
      </c>
      <c r="P86" s="15">
        <v>-29184.600007719797</v>
      </c>
      <c r="Q86" s="15">
        <f>P86-R86+P87</f>
        <v>-89010.585003662505</v>
      </c>
      <c r="R86" s="15">
        <v>0</v>
      </c>
      <c r="S86" s="15">
        <f t="shared" si="3"/>
        <v>-89010.585003662505</v>
      </c>
      <c r="T86" s="16"/>
      <c r="U86" s="26"/>
    </row>
    <row r="87" spans="1:21" x14ac:dyDescent="0.25">
      <c r="A87" s="28" t="s">
        <v>37</v>
      </c>
      <c r="B87" s="28" t="s">
        <v>269</v>
      </c>
      <c r="C87" s="28" t="s">
        <v>270</v>
      </c>
      <c r="D87" s="28" t="s">
        <v>104</v>
      </c>
      <c r="E87" s="28" t="s">
        <v>105</v>
      </c>
      <c r="F87" s="28" t="s">
        <v>120</v>
      </c>
      <c r="G87" s="28" t="s">
        <v>121</v>
      </c>
      <c r="H87" s="28" t="s">
        <v>85</v>
      </c>
      <c r="I87" s="28" t="s">
        <v>40</v>
      </c>
      <c r="J87" s="28" t="s">
        <v>38</v>
      </c>
      <c r="K87" s="28" t="s">
        <v>293</v>
      </c>
      <c r="L87" s="29">
        <v>-85954.073546591375</v>
      </c>
      <c r="M87" s="29">
        <v>0</v>
      </c>
      <c r="N87" s="29">
        <v>-26128.088550648674</v>
      </c>
      <c r="O87" s="29">
        <v>-59825.984995942716</v>
      </c>
      <c r="P87" s="29">
        <v>-59825.984995942716</v>
      </c>
      <c r="Q87" s="29">
        <f>P87-R87+59826</f>
        <v>1.5004057284386363E-2</v>
      </c>
      <c r="R87" s="15">
        <v>0</v>
      </c>
      <c r="S87" s="15">
        <f t="shared" si="3"/>
        <v>1.5004057284386363E-2</v>
      </c>
      <c r="T87" s="16"/>
      <c r="U87" s="16"/>
    </row>
    <row r="88" spans="1:21" x14ac:dyDescent="0.25">
      <c r="A88" s="16" t="s">
        <v>37</v>
      </c>
      <c r="B88" s="16" t="s">
        <v>257</v>
      </c>
      <c r="C88" s="16" t="s">
        <v>258</v>
      </c>
      <c r="D88" s="16" t="s">
        <v>104</v>
      </c>
      <c r="E88" s="16" t="s">
        <v>105</v>
      </c>
      <c r="F88" s="16" t="s">
        <v>120</v>
      </c>
      <c r="G88" s="16" t="s">
        <v>121</v>
      </c>
      <c r="H88" s="16" t="s">
        <v>85</v>
      </c>
      <c r="I88" s="16" t="s">
        <v>40</v>
      </c>
      <c r="J88" s="16" t="s">
        <v>296</v>
      </c>
      <c r="K88" s="16" t="s">
        <v>297</v>
      </c>
      <c r="L88" s="15">
        <v>-20241.6959456</v>
      </c>
      <c r="M88" s="15">
        <v>-3470.447999999999</v>
      </c>
      <c r="N88" s="15">
        <v>-14397.604639999998</v>
      </c>
      <c r="O88" s="15">
        <v>-5844.0913056000009</v>
      </c>
      <c r="P88" s="15">
        <v>-5844.0913056000009</v>
      </c>
      <c r="Q88" s="15">
        <f t="shared" si="2"/>
        <v>-5844.0913056000009</v>
      </c>
      <c r="R88" s="15">
        <v>0</v>
      </c>
      <c r="S88" s="15">
        <f t="shared" si="3"/>
        <v>-5844.0913056000009</v>
      </c>
      <c r="T88" s="16"/>
      <c r="U88" s="26"/>
    </row>
    <row r="89" spans="1:21" x14ac:dyDescent="0.25">
      <c r="A89" s="16" t="s">
        <v>37</v>
      </c>
      <c r="B89" s="16" t="s">
        <v>257</v>
      </c>
      <c r="C89" s="16" t="s">
        <v>258</v>
      </c>
      <c r="D89" s="16" t="s">
        <v>104</v>
      </c>
      <c r="E89" s="16" t="s">
        <v>105</v>
      </c>
      <c r="F89" s="16" t="s">
        <v>120</v>
      </c>
      <c r="G89" s="16" t="s">
        <v>121</v>
      </c>
      <c r="H89" s="16" t="s">
        <v>85</v>
      </c>
      <c r="I89" s="16" t="s">
        <v>40</v>
      </c>
      <c r="J89" s="16" t="s">
        <v>298</v>
      </c>
      <c r="K89" s="16" t="s">
        <v>299</v>
      </c>
      <c r="L89" s="15">
        <v>-4944.8119483870978</v>
      </c>
      <c r="M89" s="15">
        <v>0</v>
      </c>
      <c r="N89" s="15">
        <v>-1955.0021379429995</v>
      </c>
      <c r="O89" s="15">
        <v>-2989.8098104440978</v>
      </c>
      <c r="P89" s="15">
        <v>-2989.8098104440978</v>
      </c>
      <c r="Q89" s="15">
        <f t="shared" si="2"/>
        <v>-2989.8098104440978</v>
      </c>
      <c r="R89" s="15">
        <v>0</v>
      </c>
      <c r="S89" s="15">
        <f t="shared" si="3"/>
        <v>-2989.8098104440978</v>
      </c>
      <c r="T89" s="16"/>
      <c r="U89" s="26"/>
    </row>
    <row r="90" spans="1:21" x14ac:dyDescent="0.25">
      <c r="A90" s="16" t="s">
        <v>37</v>
      </c>
      <c r="B90" s="16" t="s">
        <v>269</v>
      </c>
      <c r="C90" s="16" t="s">
        <v>270</v>
      </c>
      <c r="D90" s="16" t="s">
        <v>104</v>
      </c>
      <c r="E90" s="16" t="s">
        <v>105</v>
      </c>
      <c r="F90" s="16" t="s">
        <v>120</v>
      </c>
      <c r="G90" s="16" t="s">
        <v>121</v>
      </c>
      <c r="H90" s="16" t="s">
        <v>85</v>
      </c>
      <c r="I90" s="16" t="s">
        <v>40</v>
      </c>
      <c r="J90" s="16" t="s">
        <v>62</v>
      </c>
      <c r="K90" s="16" t="s">
        <v>63</v>
      </c>
      <c r="L90" s="15">
        <v>-7921.0080000000007</v>
      </c>
      <c r="M90" s="15">
        <v>-7921.0080000000007</v>
      </c>
      <c r="N90" s="15">
        <v>-7921.0099892799981</v>
      </c>
      <c r="O90" s="15">
        <v>1.9892799969269959E-3</v>
      </c>
      <c r="P90" s="15">
        <v>0</v>
      </c>
      <c r="Q90" s="15">
        <f t="shared" si="2"/>
        <v>0</v>
      </c>
      <c r="R90" s="15">
        <v>0</v>
      </c>
      <c r="S90" s="15">
        <f t="shared" si="3"/>
        <v>0</v>
      </c>
      <c r="T90" s="16"/>
      <c r="U90" s="16"/>
    </row>
    <row r="91" spans="1:21" x14ac:dyDescent="0.25">
      <c r="A91" s="28" t="s">
        <v>37</v>
      </c>
      <c r="B91" s="28" t="s">
        <v>269</v>
      </c>
      <c r="C91" s="28" t="s">
        <v>270</v>
      </c>
      <c r="D91" s="28" t="s">
        <v>104</v>
      </c>
      <c r="E91" s="28" t="s">
        <v>105</v>
      </c>
      <c r="F91" s="28" t="s">
        <v>122</v>
      </c>
      <c r="G91" s="28" t="s">
        <v>123</v>
      </c>
      <c r="H91" s="28" t="s">
        <v>85</v>
      </c>
      <c r="I91" s="28" t="s">
        <v>40</v>
      </c>
      <c r="J91" s="28" t="s">
        <v>38</v>
      </c>
      <c r="K91" s="28" t="s">
        <v>293</v>
      </c>
      <c r="L91" s="29">
        <v>-19342.896652360592</v>
      </c>
      <c r="M91" s="29">
        <v>0</v>
      </c>
      <c r="N91" s="29">
        <v>-5686.7016257294181</v>
      </c>
      <c r="O91" s="29">
        <v>-13656.195026631172</v>
      </c>
      <c r="P91" s="29">
        <v>-13656.195026631172</v>
      </c>
      <c r="Q91" s="29">
        <f>P91-R91+13656</f>
        <v>-0.19502663117236807</v>
      </c>
      <c r="R91" s="15">
        <v>0</v>
      </c>
      <c r="S91" s="15">
        <f t="shared" si="3"/>
        <v>-0.19502663117236807</v>
      </c>
      <c r="T91" s="16"/>
      <c r="U91" s="16"/>
    </row>
    <row r="92" spans="1:21" x14ac:dyDescent="0.25">
      <c r="A92" s="16" t="s">
        <v>37</v>
      </c>
      <c r="B92" s="16" t="s">
        <v>267</v>
      </c>
      <c r="C92" s="16" t="s">
        <v>268</v>
      </c>
      <c r="D92" s="16" t="s">
        <v>104</v>
      </c>
      <c r="E92" s="16" t="s">
        <v>105</v>
      </c>
      <c r="F92" s="16" t="s">
        <v>122</v>
      </c>
      <c r="G92" s="16" t="s">
        <v>123</v>
      </c>
      <c r="H92" s="16" t="s">
        <v>85</v>
      </c>
      <c r="I92" s="16" t="s">
        <v>40</v>
      </c>
      <c r="J92" s="16" t="s">
        <v>38</v>
      </c>
      <c r="K92" s="16" t="s">
        <v>293</v>
      </c>
      <c r="L92" s="15">
        <v>-1192459.7605022432</v>
      </c>
      <c r="M92" s="15">
        <v>-281956</v>
      </c>
      <c r="N92" s="15">
        <v>-327854.04341408605</v>
      </c>
      <c r="O92" s="15">
        <v>-864605.71708815719</v>
      </c>
      <c r="P92" s="15">
        <v>-864605.71708815719</v>
      </c>
      <c r="Q92" s="15">
        <f t="shared" si="2"/>
        <v>-864605.71708815719</v>
      </c>
      <c r="R92" s="15">
        <v>0</v>
      </c>
      <c r="S92" s="15">
        <f t="shared" si="3"/>
        <v>-864605.71708815719</v>
      </c>
      <c r="T92" s="16"/>
      <c r="U92" s="16"/>
    </row>
    <row r="93" spans="1:21" x14ac:dyDescent="0.25">
      <c r="A93" s="16" t="s">
        <v>37</v>
      </c>
      <c r="B93" s="16" t="s">
        <v>257</v>
      </c>
      <c r="C93" s="16" t="s">
        <v>258</v>
      </c>
      <c r="D93" s="16" t="s">
        <v>104</v>
      </c>
      <c r="E93" s="16" t="s">
        <v>105</v>
      </c>
      <c r="F93" s="16" t="s">
        <v>122</v>
      </c>
      <c r="G93" s="16" t="s">
        <v>123</v>
      </c>
      <c r="H93" s="16" t="s">
        <v>85</v>
      </c>
      <c r="I93" s="16" t="s">
        <v>40</v>
      </c>
      <c r="J93" s="16" t="s">
        <v>38</v>
      </c>
      <c r="K93" s="16" t="s">
        <v>293</v>
      </c>
      <c r="L93" s="15">
        <v>-155940.38020495852</v>
      </c>
      <c r="M93" s="15">
        <v>0</v>
      </c>
      <c r="N93" s="15">
        <v>-116979.9070200542</v>
      </c>
      <c r="O93" s="15">
        <v>-38960.473184904331</v>
      </c>
      <c r="P93" s="15">
        <v>-38960.473184904331</v>
      </c>
      <c r="Q93" s="15">
        <f>P93-R93+P91</f>
        <v>-52616.668211535507</v>
      </c>
      <c r="R93" s="15">
        <v>0</v>
      </c>
      <c r="S93" s="15">
        <f t="shared" si="3"/>
        <v>-52616.668211535507</v>
      </c>
      <c r="T93" s="16"/>
      <c r="U93" s="26"/>
    </row>
    <row r="94" spans="1:21" x14ac:dyDescent="0.25">
      <c r="A94" s="16" t="s">
        <v>37</v>
      </c>
      <c r="B94" s="16" t="s">
        <v>257</v>
      </c>
      <c r="C94" s="16" t="s">
        <v>258</v>
      </c>
      <c r="D94" s="16" t="s">
        <v>104</v>
      </c>
      <c r="E94" s="16" t="s">
        <v>105</v>
      </c>
      <c r="F94" s="16" t="s">
        <v>122</v>
      </c>
      <c r="G94" s="16" t="s">
        <v>123</v>
      </c>
      <c r="H94" s="16" t="s">
        <v>85</v>
      </c>
      <c r="I94" s="16" t="s">
        <v>40</v>
      </c>
      <c r="J94" s="16" t="s">
        <v>296</v>
      </c>
      <c r="K94" s="16" t="s">
        <v>297</v>
      </c>
      <c r="L94" s="15">
        <v>-5953.4399840000005</v>
      </c>
      <c r="M94" s="15">
        <v>-1020.72</v>
      </c>
      <c r="N94" s="15">
        <v>-4234.5896000000002</v>
      </c>
      <c r="O94" s="15">
        <v>-1718.8503840000003</v>
      </c>
      <c r="P94" s="15">
        <v>-1718.8503840000003</v>
      </c>
      <c r="Q94" s="15">
        <f t="shared" si="2"/>
        <v>-1718.8503840000003</v>
      </c>
      <c r="R94" s="15">
        <v>0</v>
      </c>
      <c r="S94" s="15">
        <f t="shared" si="3"/>
        <v>-1718.8503840000003</v>
      </c>
      <c r="T94" s="16"/>
      <c r="U94" s="26"/>
    </row>
    <row r="95" spans="1:21" x14ac:dyDescent="0.25">
      <c r="A95" s="16" t="s">
        <v>37</v>
      </c>
      <c r="B95" s="16" t="s">
        <v>267</v>
      </c>
      <c r="C95" s="16" t="s">
        <v>268</v>
      </c>
      <c r="D95" s="16" t="s">
        <v>104</v>
      </c>
      <c r="E95" s="16" t="s">
        <v>105</v>
      </c>
      <c r="F95" s="16" t="s">
        <v>122</v>
      </c>
      <c r="G95" s="16" t="s">
        <v>123</v>
      </c>
      <c r="H95" s="16" t="s">
        <v>85</v>
      </c>
      <c r="I95" s="16" t="s">
        <v>40</v>
      </c>
      <c r="J95" s="16" t="s">
        <v>124</v>
      </c>
      <c r="K95" s="16" t="s">
        <v>125</v>
      </c>
      <c r="L95" s="15">
        <v>-13049.616192966661</v>
      </c>
      <c r="M95" s="15">
        <v>0</v>
      </c>
      <c r="N95" s="15">
        <v>-11450.338299186993</v>
      </c>
      <c r="O95" s="15">
        <v>-1599.2778937796691</v>
      </c>
      <c r="P95" s="15">
        <v>0</v>
      </c>
      <c r="Q95" s="15">
        <f t="shared" si="2"/>
        <v>0</v>
      </c>
      <c r="R95" s="15">
        <v>0</v>
      </c>
      <c r="S95" s="15">
        <f t="shared" si="3"/>
        <v>0</v>
      </c>
      <c r="T95" s="16"/>
      <c r="U95" s="16"/>
    </row>
    <row r="96" spans="1:21" x14ac:dyDescent="0.25">
      <c r="A96" s="16" t="s">
        <v>37</v>
      </c>
      <c r="B96" s="16" t="s">
        <v>257</v>
      </c>
      <c r="C96" s="16" t="s">
        <v>258</v>
      </c>
      <c r="D96" s="16" t="s">
        <v>104</v>
      </c>
      <c r="E96" s="16" t="s">
        <v>105</v>
      </c>
      <c r="F96" s="16" t="s">
        <v>122</v>
      </c>
      <c r="G96" s="16" t="s">
        <v>123</v>
      </c>
      <c r="H96" s="16" t="s">
        <v>85</v>
      </c>
      <c r="I96" s="16" t="s">
        <v>40</v>
      </c>
      <c r="J96" s="16" t="s">
        <v>298</v>
      </c>
      <c r="K96" s="16" t="s">
        <v>299</v>
      </c>
      <c r="L96" s="15">
        <v>-78.741935483870961</v>
      </c>
      <c r="M96" s="15">
        <v>0</v>
      </c>
      <c r="N96" s="15">
        <v>-26.509935794800001</v>
      </c>
      <c r="O96" s="15">
        <v>-52.231999689070953</v>
      </c>
      <c r="P96" s="15">
        <v>-52.231999689070953</v>
      </c>
      <c r="Q96" s="15">
        <f t="shared" si="2"/>
        <v>-52.231999689070953</v>
      </c>
      <c r="R96" s="15">
        <v>0</v>
      </c>
      <c r="S96" s="15">
        <f t="shared" si="3"/>
        <v>-52.231999689070953</v>
      </c>
      <c r="T96" s="16"/>
      <c r="U96" s="26"/>
    </row>
    <row r="97" spans="1:21" x14ac:dyDescent="0.25">
      <c r="A97" s="16" t="s">
        <v>37</v>
      </c>
      <c r="B97" s="16" t="s">
        <v>269</v>
      </c>
      <c r="C97" s="16" t="s">
        <v>270</v>
      </c>
      <c r="D97" s="16" t="s">
        <v>104</v>
      </c>
      <c r="E97" s="16" t="s">
        <v>105</v>
      </c>
      <c r="F97" s="16" t="s">
        <v>122</v>
      </c>
      <c r="G97" s="16" t="s">
        <v>123</v>
      </c>
      <c r="H97" s="16" t="s">
        <v>85</v>
      </c>
      <c r="I97" s="16" t="s">
        <v>40</v>
      </c>
      <c r="J97" s="16" t="s">
        <v>62</v>
      </c>
      <c r="K97" s="16" t="s">
        <v>63</v>
      </c>
      <c r="L97" s="15">
        <v>-3916.1699999999992</v>
      </c>
      <c r="M97" s="15">
        <v>-3916.1699999999992</v>
      </c>
      <c r="N97" s="15">
        <v>-3916.1699946999997</v>
      </c>
      <c r="O97" s="15">
        <v>-5.2999997706137947E-6</v>
      </c>
      <c r="P97" s="15">
        <v>0</v>
      </c>
      <c r="Q97" s="15">
        <f t="shared" si="2"/>
        <v>0</v>
      </c>
      <c r="R97" s="15">
        <v>0</v>
      </c>
      <c r="S97" s="15">
        <f t="shared" si="3"/>
        <v>0</v>
      </c>
      <c r="T97" s="16"/>
      <c r="U97" s="16"/>
    </row>
    <row r="98" spans="1:21" x14ac:dyDescent="0.25">
      <c r="A98" s="16" t="s">
        <v>37</v>
      </c>
      <c r="B98" s="16" t="s">
        <v>267</v>
      </c>
      <c r="C98" s="16" t="s">
        <v>268</v>
      </c>
      <c r="D98" s="16" t="s">
        <v>104</v>
      </c>
      <c r="E98" s="16" t="s">
        <v>105</v>
      </c>
      <c r="F98" s="16" t="s">
        <v>122</v>
      </c>
      <c r="G98" s="16" t="s">
        <v>123</v>
      </c>
      <c r="H98" s="16" t="s">
        <v>85</v>
      </c>
      <c r="I98" s="16" t="s">
        <v>40</v>
      </c>
      <c r="J98" s="16" t="s">
        <v>71</v>
      </c>
      <c r="K98" s="16" t="s">
        <v>72</v>
      </c>
      <c r="L98" s="15">
        <v>-2072000</v>
      </c>
      <c r="M98" s="15">
        <v>0</v>
      </c>
      <c r="N98" s="15">
        <v>-208695.62999999998</v>
      </c>
      <c r="O98" s="15">
        <v>-1863304.37</v>
      </c>
      <c r="P98" s="15">
        <v>-1863304.37</v>
      </c>
      <c r="Q98" s="15">
        <f t="shared" si="2"/>
        <v>-1863304.37</v>
      </c>
      <c r="R98" s="15">
        <v>0</v>
      </c>
      <c r="S98" s="15">
        <f t="shared" si="3"/>
        <v>-1863304.37</v>
      </c>
      <c r="T98" s="16"/>
      <c r="U98" s="16"/>
    </row>
    <row r="99" spans="1:21" x14ac:dyDescent="0.25">
      <c r="A99" s="16" t="s">
        <v>37</v>
      </c>
      <c r="B99" s="16" t="s">
        <v>267</v>
      </c>
      <c r="C99" s="16" t="s">
        <v>268</v>
      </c>
      <c r="D99" s="16" t="s">
        <v>104</v>
      </c>
      <c r="E99" s="16" t="s">
        <v>105</v>
      </c>
      <c r="F99" s="16" t="s">
        <v>126</v>
      </c>
      <c r="G99" s="16" t="s">
        <v>127</v>
      </c>
      <c r="H99" s="16" t="s">
        <v>85</v>
      </c>
      <c r="I99" s="16" t="s">
        <v>40</v>
      </c>
      <c r="J99" s="16" t="s">
        <v>38</v>
      </c>
      <c r="K99" s="16" t="s">
        <v>293</v>
      </c>
      <c r="L99" s="15">
        <v>-991938.38925775676</v>
      </c>
      <c r="M99" s="15">
        <v>0</v>
      </c>
      <c r="N99" s="15">
        <v>-873123.37508591427</v>
      </c>
      <c r="O99" s="15">
        <v>-118815.01417184281</v>
      </c>
      <c r="P99" s="15">
        <v>-118815.01417184281</v>
      </c>
      <c r="Q99" s="15">
        <f t="shared" si="2"/>
        <v>-118815.01417184281</v>
      </c>
      <c r="R99" s="15">
        <v>0</v>
      </c>
      <c r="S99" s="15">
        <f t="shared" si="3"/>
        <v>-118815.01417184281</v>
      </c>
      <c r="T99" s="16"/>
      <c r="U99" s="16"/>
    </row>
    <row r="100" spans="1:21" x14ac:dyDescent="0.25">
      <c r="A100" s="28" t="s">
        <v>37</v>
      </c>
      <c r="B100" s="28" t="s">
        <v>269</v>
      </c>
      <c r="C100" s="28" t="s">
        <v>270</v>
      </c>
      <c r="D100" s="28" t="s">
        <v>104</v>
      </c>
      <c r="E100" s="28" t="s">
        <v>105</v>
      </c>
      <c r="F100" s="28" t="s">
        <v>126</v>
      </c>
      <c r="G100" s="28" t="s">
        <v>127</v>
      </c>
      <c r="H100" s="28" t="s">
        <v>85</v>
      </c>
      <c r="I100" s="28" t="s">
        <v>40</v>
      </c>
      <c r="J100" s="28" t="s">
        <v>38</v>
      </c>
      <c r="K100" s="28" t="s">
        <v>293</v>
      </c>
      <c r="L100" s="29">
        <v>-15747</v>
      </c>
      <c r="M100" s="29">
        <v>0</v>
      </c>
      <c r="N100" s="29">
        <v>0</v>
      </c>
      <c r="O100" s="29">
        <v>-15747</v>
      </c>
      <c r="P100" s="29">
        <v>-15747</v>
      </c>
      <c r="Q100" s="29">
        <f>P100-R100+15747</f>
        <v>0</v>
      </c>
      <c r="R100" s="15">
        <v>0</v>
      </c>
      <c r="S100" s="15">
        <f t="shared" si="3"/>
        <v>0</v>
      </c>
      <c r="T100" s="16"/>
      <c r="U100" s="16"/>
    </row>
    <row r="101" spans="1:21" x14ac:dyDescent="0.25">
      <c r="A101" s="16" t="s">
        <v>37</v>
      </c>
      <c r="B101" s="16" t="s">
        <v>257</v>
      </c>
      <c r="C101" s="16" t="s">
        <v>258</v>
      </c>
      <c r="D101" s="16" t="s">
        <v>104</v>
      </c>
      <c r="E101" s="16" t="s">
        <v>105</v>
      </c>
      <c r="F101" s="16" t="s">
        <v>126</v>
      </c>
      <c r="G101" s="16" t="s">
        <v>127</v>
      </c>
      <c r="H101" s="16" t="s">
        <v>85</v>
      </c>
      <c r="I101" s="16" t="s">
        <v>40</v>
      </c>
      <c r="J101" s="16" t="s">
        <v>38</v>
      </c>
      <c r="K101" s="16" t="s">
        <v>293</v>
      </c>
      <c r="L101" s="15">
        <v>2.9485090635716915E-7</v>
      </c>
      <c r="M101" s="15">
        <v>0</v>
      </c>
      <c r="N101" s="15">
        <v>-56.000000000000007</v>
      </c>
      <c r="O101" s="15">
        <v>56.000000294850906</v>
      </c>
      <c r="P101" s="15">
        <f>O101</f>
        <v>56.000000294850906</v>
      </c>
      <c r="Q101" s="15">
        <f>P101-R101+P100</f>
        <v>-15690.999999705149</v>
      </c>
      <c r="R101" s="15">
        <v>0</v>
      </c>
      <c r="S101" s="15">
        <f t="shared" si="3"/>
        <v>-15690.999999705149</v>
      </c>
      <c r="T101" s="16"/>
      <c r="U101" s="26"/>
    </row>
    <row r="102" spans="1:21" x14ac:dyDescent="0.25">
      <c r="A102" s="16" t="s">
        <v>37</v>
      </c>
      <c r="B102" s="16" t="s">
        <v>267</v>
      </c>
      <c r="C102" s="16" t="s">
        <v>268</v>
      </c>
      <c r="D102" s="16" t="s">
        <v>104</v>
      </c>
      <c r="E102" s="16" t="s">
        <v>105</v>
      </c>
      <c r="F102" s="16" t="s">
        <v>126</v>
      </c>
      <c r="G102" s="16" t="s">
        <v>127</v>
      </c>
      <c r="H102" s="16" t="s">
        <v>85</v>
      </c>
      <c r="I102" s="16" t="s">
        <v>40</v>
      </c>
      <c r="J102" s="16" t="s">
        <v>124</v>
      </c>
      <c r="K102" s="16" t="s">
        <v>125</v>
      </c>
      <c r="L102" s="15">
        <v>-82503.99539703333</v>
      </c>
      <c r="M102" s="15">
        <v>0</v>
      </c>
      <c r="N102" s="15">
        <v>-69446.541700813017</v>
      </c>
      <c r="O102" s="15">
        <v>-13057.453696220324</v>
      </c>
      <c r="P102" s="15">
        <v>0</v>
      </c>
      <c r="Q102" s="15">
        <f t="shared" si="2"/>
        <v>0</v>
      </c>
      <c r="R102" s="15">
        <v>0</v>
      </c>
      <c r="S102" s="15">
        <f t="shared" si="3"/>
        <v>0</v>
      </c>
      <c r="T102" s="16"/>
      <c r="U102" s="16"/>
    </row>
    <row r="103" spans="1:21" x14ac:dyDescent="0.25">
      <c r="A103" s="28" t="s">
        <v>37</v>
      </c>
      <c r="B103" s="28" t="s">
        <v>269</v>
      </c>
      <c r="C103" s="28" t="s">
        <v>270</v>
      </c>
      <c r="D103" s="28" t="s">
        <v>100</v>
      </c>
      <c r="E103" s="28" t="s">
        <v>101</v>
      </c>
      <c r="F103" s="28" t="s">
        <v>128</v>
      </c>
      <c r="G103" s="28" t="s">
        <v>129</v>
      </c>
      <c r="H103" s="28" t="s">
        <v>85</v>
      </c>
      <c r="I103" s="28" t="s">
        <v>40</v>
      </c>
      <c r="J103" s="28" t="s">
        <v>38</v>
      </c>
      <c r="K103" s="28" t="s">
        <v>293</v>
      </c>
      <c r="L103" s="29">
        <v>-90656.154264193028</v>
      </c>
      <c r="M103" s="29">
        <v>-5946.2613757498011</v>
      </c>
      <c r="N103" s="29">
        <v>-633206.52091066563</v>
      </c>
      <c r="O103" s="29">
        <v>542550.3666464726</v>
      </c>
      <c r="P103" s="29">
        <f>O103</f>
        <v>542550.3666464726</v>
      </c>
      <c r="Q103" s="29">
        <f>P103-R103-542550</f>
        <v>0.36664647259749472</v>
      </c>
      <c r="R103" s="15">
        <v>0</v>
      </c>
      <c r="S103" s="15">
        <f t="shared" si="3"/>
        <v>0.36664647259749472</v>
      </c>
      <c r="T103" s="16"/>
      <c r="U103" s="16"/>
    </row>
    <row r="104" spans="1:21" x14ac:dyDescent="0.25">
      <c r="A104" s="16" t="s">
        <v>37</v>
      </c>
      <c r="B104" s="16" t="s">
        <v>265</v>
      </c>
      <c r="C104" s="16" t="s">
        <v>266</v>
      </c>
      <c r="D104" s="16" t="s">
        <v>100</v>
      </c>
      <c r="E104" s="16" t="s">
        <v>101</v>
      </c>
      <c r="F104" s="16" t="s">
        <v>128</v>
      </c>
      <c r="G104" s="16" t="s">
        <v>129</v>
      </c>
      <c r="H104" s="16" t="s">
        <v>85</v>
      </c>
      <c r="I104" s="16" t="s">
        <v>40</v>
      </c>
      <c r="J104" s="16" t="s">
        <v>38</v>
      </c>
      <c r="K104" s="16" t="s">
        <v>293</v>
      </c>
      <c r="L104" s="15">
        <v>-104604.27194484325</v>
      </c>
      <c r="M104" s="15">
        <v>-207.7700043052651</v>
      </c>
      <c r="N104" s="15">
        <v>-100436.98215422445</v>
      </c>
      <c r="O104" s="15">
        <v>-4167.2897906187891</v>
      </c>
      <c r="P104" s="15">
        <v>-4167.2897906187891</v>
      </c>
      <c r="Q104" s="15">
        <f t="shared" si="2"/>
        <v>-4167.2897906187891</v>
      </c>
      <c r="R104" s="15">
        <v>0</v>
      </c>
      <c r="S104" s="15">
        <f t="shared" si="3"/>
        <v>-4167.2897906187891</v>
      </c>
      <c r="T104" s="16"/>
      <c r="U104" s="16"/>
    </row>
    <row r="105" spans="1:21" x14ac:dyDescent="0.25">
      <c r="A105" s="16" t="s">
        <v>37</v>
      </c>
      <c r="B105" s="16" t="s">
        <v>261</v>
      </c>
      <c r="C105" s="16" t="s">
        <v>262</v>
      </c>
      <c r="D105" s="16" t="s">
        <v>100</v>
      </c>
      <c r="E105" s="16" t="s">
        <v>101</v>
      </c>
      <c r="F105" s="16" t="s">
        <v>128</v>
      </c>
      <c r="G105" s="16" t="s">
        <v>129</v>
      </c>
      <c r="H105" s="16" t="s">
        <v>85</v>
      </c>
      <c r="I105" s="16" t="s">
        <v>40</v>
      </c>
      <c r="J105" s="16" t="s">
        <v>38</v>
      </c>
      <c r="K105" s="16" t="s">
        <v>293</v>
      </c>
      <c r="L105" s="15">
        <v>-146277.17261269793</v>
      </c>
      <c r="M105" s="15">
        <v>-15905.560000000001</v>
      </c>
      <c r="N105" s="15">
        <v>-124689.36954531149</v>
      </c>
      <c r="O105" s="15">
        <v>-21587.803067386427</v>
      </c>
      <c r="P105" s="15">
        <v>-21587.803067386427</v>
      </c>
      <c r="Q105" s="15">
        <f t="shared" si="2"/>
        <v>-21587.803067386427</v>
      </c>
      <c r="R105" s="15">
        <v>0</v>
      </c>
      <c r="S105" s="15">
        <f t="shared" si="3"/>
        <v>-21587.803067386427</v>
      </c>
      <c r="T105" s="16"/>
      <c r="U105" s="16"/>
    </row>
    <row r="106" spans="1:21" x14ac:dyDescent="0.25">
      <c r="A106" s="16" t="s">
        <v>37</v>
      </c>
      <c r="B106" s="16" t="s">
        <v>257</v>
      </c>
      <c r="C106" s="16" t="s">
        <v>258</v>
      </c>
      <c r="D106" s="16" t="s">
        <v>100</v>
      </c>
      <c r="E106" s="16" t="s">
        <v>101</v>
      </c>
      <c r="F106" s="16" t="s">
        <v>128</v>
      </c>
      <c r="G106" s="16" t="s">
        <v>129</v>
      </c>
      <c r="H106" s="16" t="s">
        <v>85</v>
      </c>
      <c r="I106" s="16" t="s">
        <v>40</v>
      </c>
      <c r="J106" s="16" t="s">
        <v>38</v>
      </c>
      <c r="K106" s="16" t="s">
        <v>293</v>
      </c>
      <c r="L106" s="15">
        <v>-1467588.4903199361</v>
      </c>
      <c r="M106" s="15">
        <v>-91230.434561292393</v>
      </c>
      <c r="N106" s="15">
        <v>-1564588.717992377</v>
      </c>
      <c r="O106" s="15">
        <v>97000.227672441484</v>
      </c>
      <c r="P106" s="15">
        <f>O106</f>
        <v>97000.227672441484</v>
      </c>
      <c r="Q106" s="15">
        <f>P106-R106+P103</f>
        <v>639550.59431891411</v>
      </c>
      <c r="R106" s="15">
        <v>0</v>
      </c>
      <c r="S106" s="15">
        <f t="shared" si="3"/>
        <v>639550.59431891411</v>
      </c>
      <c r="T106" s="16"/>
      <c r="U106" s="26"/>
    </row>
    <row r="107" spans="1:21" x14ac:dyDescent="0.25">
      <c r="A107" s="16" t="s">
        <v>37</v>
      </c>
      <c r="B107" s="16" t="s">
        <v>257</v>
      </c>
      <c r="C107" s="16" t="s">
        <v>258</v>
      </c>
      <c r="D107" s="16" t="s">
        <v>100</v>
      </c>
      <c r="E107" s="16" t="s">
        <v>101</v>
      </c>
      <c r="F107" s="16" t="s">
        <v>128</v>
      </c>
      <c r="G107" s="16" t="s">
        <v>129</v>
      </c>
      <c r="H107" s="16" t="s">
        <v>85</v>
      </c>
      <c r="I107" s="16" t="s">
        <v>40</v>
      </c>
      <c r="J107" s="16" t="s">
        <v>285</v>
      </c>
      <c r="K107" s="16" t="s">
        <v>286</v>
      </c>
      <c r="L107" s="15">
        <v>1.000000047497451E-4</v>
      </c>
      <c r="M107" s="15">
        <v>0</v>
      </c>
      <c r="N107" s="15">
        <v>0</v>
      </c>
      <c r="O107" s="15">
        <v>1.000000047497451E-4</v>
      </c>
      <c r="P107" s="15">
        <v>0</v>
      </c>
      <c r="Q107" s="15">
        <f t="shared" si="2"/>
        <v>0</v>
      </c>
      <c r="R107" s="15">
        <v>0</v>
      </c>
      <c r="S107" s="15">
        <f t="shared" si="3"/>
        <v>0</v>
      </c>
      <c r="T107" s="16"/>
      <c r="U107" s="26"/>
    </row>
    <row r="108" spans="1:21" x14ac:dyDescent="0.25">
      <c r="A108" s="16" t="s">
        <v>37</v>
      </c>
      <c r="B108" s="16" t="s">
        <v>269</v>
      </c>
      <c r="C108" s="16" t="s">
        <v>270</v>
      </c>
      <c r="D108" s="16" t="s">
        <v>100</v>
      </c>
      <c r="E108" s="16" t="s">
        <v>101</v>
      </c>
      <c r="F108" s="16" t="s">
        <v>128</v>
      </c>
      <c r="G108" s="16" t="s">
        <v>129</v>
      </c>
      <c r="H108" s="16" t="s">
        <v>85</v>
      </c>
      <c r="I108" s="16" t="s">
        <v>40</v>
      </c>
      <c r="J108" s="16" t="s">
        <v>130</v>
      </c>
      <c r="K108" s="16" t="s">
        <v>131</v>
      </c>
      <c r="L108" s="15">
        <v>-1681.4200000058054</v>
      </c>
      <c r="M108" s="15">
        <v>-1681.4200000058054</v>
      </c>
      <c r="N108" s="15">
        <v>0</v>
      </c>
      <c r="O108" s="15">
        <v>-1681.4200000058054</v>
      </c>
      <c r="P108" s="15">
        <v>-1681.4200000058054</v>
      </c>
      <c r="Q108" s="15">
        <f t="shared" si="2"/>
        <v>-1681.4200000058054</v>
      </c>
      <c r="R108" s="15">
        <v>0</v>
      </c>
      <c r="S108" s="15">
        <f t="shared" si="3"/>
        <v>-1681.4200000058054</v>
      </c>
      <c r="T108" s="16"/>
      <c r="U108" s="16"/>
    </row>
    <row r="109" spans="1:21" x14ac:dyDescent="0.25">
      <c r="A109" s="16" t="s">
        <v>37</v>
      </c>
      <c r="B109" s="16" t="s">
        <v>257</v>
      </c>
      <c r="C109" s="16" t="s">
        <v>258</v>
      </c>
      <c r="D109" s="16" t="s">
        <v>100</v>
      </c>
      <c r="E109" s="16" t="s">
        <v>101</v>
      </c>
      <c r="F109" s="16" t="s">
        <v>128</v>
      </c>
      <c r="G109" s="16" t="s">
        <v>129</v>
      </c>
      <c r="H109" s="16" t="s">
        <v>85</v>
      </c>
      <c r="I109" s="16" t="s">
        <v>40</v>
      </c>
      <c r="J109" s="16" t="s">
        <v>296</v>
      </c>
      <c r="K109" s="16" t="s">
        <v>297</v>
      </c>
      <c r="L109" s="15">
        <v>-1145.8249643228846</v>
      </c>
      <c r="M109" s="15">
        <v>-844.36826584999994</v>
      </c>
      <c r="N109" s="15">
        <v>-1002.1701719999837</v>
      </c>
      <c r="O109" s="15">
        <v>-143.65479232289363</v>
      </c>
      <c r="P109" s="15">
        <v>-143.65479232289363</v>
      </c>
      <c r="Q109" s="15">
        <f>P109-R109</f>
        <v>-143.65479232289363</v>
      </c>
      <c r="R109" s="15">
        <v>0</v>
      </c>
      <c r="S109" s="15">
        <f t="shared" si="3"/>
        <v>-143.65479232289363</v>
      </c>
      <c r="T109" s="16"/>
      <c r="U109" s="26"/>
    </row>
    <row r="110" spans="1:21" x14ac:dyDescent="0.25">
      <c r="A110" s="16" t="s">
        <v>37</v>
      </c>
      <c r="B110" s="16" t="s">
        <v>269</v>
      </c>
      <c r="C110" s="16" t="s">
        <v>270</v>
      </c>
      <c r="D110" s="16" t="s">
        <v>100</v>
      </c>
      <c r="E110" s="16" t="s">
        <v>101</v>
      </c>
      <c r="F110" s="16" t="s">
        <v>128</v>
      </c>
      <c r="G110" s="16" t="s">
        <v>129</v>
      </c>
      <c r="H110" s="16" t="s">
        <v>85</v>
      </c>
      <c r="I110" s="16" t="s">
        <v>40</v>
      </c>
      <c r="J110" s="16" t="s">
        <v>124</v>
      </c>
      <c r="K110" s="16" t="s">
        <v>125</v>
      </c>
      <c r="L110" s="15">
        <v>-321.07147538263666</v>
      </c>
      <c r="M110" s="15">
        <v>0</v>
      </c>
      <c r="N110" s="15">
        <v>-255.89999999999981</v>
      </c>
      <c r="O110" s="15">
        <v>-65.171475382636871</v>
      </c>
      <c r="P110" s="15">
        <v>0</v>
      </c>
      <c r="Q110" s="15">
        <f t="shared" si="2"/>
        <v>0</v>
      </c>
      <c r="R110" s="15">
        <v>0</v>
      </c>
      <c r="S110" s="15">
        <f t="shared" si="3"/>
        <v>0</v>
      </c>
      <c r="T110" s="16"/>
      <c r="U110" s="16"/>
    </row>
    <row r="111" spans="1:21" x14ac:dyDescent="0.25">
      <c r="A111" s="16" t="s">
        <v>37</v>
      </c>
      <c r="B111" s="16" t="s">
        <v>257</v>
      </c>
      <c r="C111" s="16" t="s">
        <v>258</v>
      </c>
      <c r="D111" s="16" t="s">
        <v>100</v>
      </c>
      <c r="E111" s="16" t="s">
        <v>101</v>
      </c>
      <c r="F111" s="16" t="s">
        <v>128</v>
      </c>
      <c r="G111" s="16" t="s">
        <v>129</v>
      </c>
      <c r="H111" s="16" t="s">
        <v>85</v>
      </c>
      <c r="I111" s="16" t="s">
        <v>40</v>
      </c>
      <c r="J111" s="16" t="s">
        <v>124</v>
      </c>
      <c r="K111" s="16" t="s">
        <v>125</v>
      </c>
      <c r="L111" s="15">
        <v>-135.2663</v>
      </c>
      <c r="M111" s="15">
        <v>0</v>
      </c>
      <c r="N111" s="15">
        <v>-102.38794399999999</v>
      </c>
      <c r="O111" s="15">
        <v>-32.878356000000025</v>
      </c>
      <c r="P111" s="15">
        <v>0</v>
      </c>
      <c r="Q111" s="15">
        <f t="shared" si="2"/>
        <v>0</v>
      </c>
      <c r="R111" s="15">
        <v>0</v>
      </c>
      <c r="S111" s="15">
        <f t="shared" si="3"/>
        <v>0</v>
      </c>
      <c r="T111" s="16"/>
      <c r="U111" s="26"/>
    </row>
    <row r="112" spans="1:21" x14ac:dyDescent="0.25">
      <c r="A112" s="16" t="s">
        <v>37</v>
      </c>
      <c r="B112" s="16" t="s">
        <v>261</v>
      </c>
      <c r="C112" s="16" t="s">
        <v>262</v>
      </c>
      <c r="D112" s="16" t="s">
        <v>100</v>
      </c>
      <c r="E112" s="16" t="s">
        <v>101</v>
      </c>
      <c r="F112" s="16" t="s">
        <v>128</v>
      </c>
      <c r="G112" s="16" t="s">
        <v>129</v>
      </c>
      <c r="H112" s="16" t="s">
        <v>85</v>
      </c>
      <c r="I112" s="16" t="s">
        <v>40</v>
      </c>
      <c r="J112" s="16" t="s">
        <v>124</v>
      </c>
      <c r="K112" s="16" t="s">
        <v>125</v>
      </c>
      <c r="L112" s="15">
        <v>-4621.5917088499991</v>
      </c>
      <c r="M112" s="15">
        <v>0</v>
      </c>
      <c r="N112" s="15">
        <v>-3202.3428616416004</v>
      </c>
      <c r="O112" s="15">
        <v>-1419.2488472083992</v>
      </c>
      <c r="P112" s="15">
        <v>0</v>
      </c>
      <c r="Q112" s="15">
        <f t="shared" si="2"/>
        <v>0</v>
      </c>
      <c r="R112" s="15">
        <v>0</v>
      </c>
      <c r="S112" s="15">
        <f t="shared" si="3"/>
        <v>0</v>
      </c>
      <c r="T112" s="16"/>
      <c r="U112" s="16"/>
    </row>
    <row r="113" spans="1:21" x14ac:dyDescent="0.25">
      <c r="A113" s="16" t="s">
        <v>37</v>
      </c>
      <c r="B113" s="16" t="s">
        <v>265</v>
      </c>
      <c r="C113" s="16" t="s">
        <v>266</v>
      </c>
      <c r="D113" s="16" t="s">
        <v>100</v>
      </c>
      <c r="E113" s="16" t="s">
        <v>101</v>
      </c>
      <c r="F113" s="16" t="s">
        <v>128</v>
      </c>
      <c r="G113" s="16" t="s">
        <v>129</v>
      </c>
      <c r="H113" s="16" t="s">
        <v>85</v>
      </c>
      <c r="I113" s="16" t="s">
        <v>40</v>
      </c>
      <c r="J113" s="16" t="s">
        <v>124</v>
      </c>
      <c r="K113" s="16" t="s">
        <v>125</v>
      </c>
      <c r="L113" s="15">
        <v>-11405.008737453461</v>
      </c>
      <c r="M113" s="15">
        <v>0</v>
      </c>
      <c r="N113" s="15">
        <v>-9136.4510849970629</v>
      </c>
      <c r="O113" s="15">
        <v>-2268.5576524563971</v>
      </c>
      <c r="P113" s="15">
        <v>0</v>
      </c>
      <c r="Q113" s="15">
        <f t="shared" si="2"/>
        <v>0</v>
      </c>
      <c r="R113" s="15">
        <v>0</v>
      </c>
      <c r="S113" s="15">
        <f t="shared" si="3"/>
        <v>0</v>
      </c>
      <c r="T113" s="16"/>
      <c r="U113" s="16"/>
    </row>
    <row r="114" spans="1:21" x14ac:dyDescent="0.25">
      <c r="A114" s="16" t="s">
        <v>37</v>
      </c>
      <c r="B114" s="16" t="s">
        <v>257</v>
      </c>
      <c r="C114" s="16" t="s">
        <v>258</v>
      </c>
      <c r="D114" s="16" t="s">
        <v>100</v>
      </c>
      <c r="E114" s="16" t="s">
        <v>101</v>
      </c>
      <c r="F114" s="16" t="s">
        <v>128</v>
      </c>
      <c r="G114" s="16" t="s">
        <v>129</v>
      </c>
      <c r="H114" s="16" t="s">
        <v>85</v>
      </c>
      <c r="I114" s="16" t="s">
        <v>40</v>
      </c>
      <c r="J114" s="16" t="s">
        <v>298</v>
      </c>
      <c r="K114" s="16" t="s">
        <v>299</v>
      </c>
      <c r="L114" s="15">
        <v>-137710.38071764025</v>
      </c>
      <c r="M114" s="15">
        <v>-435.59045400000008</v>
      </c>
      <c r="N114" s="15">
        <v>-73822.149265783781</v>
      </c>
      <c r="O114" s="15">
        <v>-63888.231451856489</v>
      </c>
      <c r="P114" s="15">
        <v>-63888.231451856489</v>
      </c>
      <c r="Q114" s="15">
        <f t="shared" si="2"/>
        <v>-63888.231451856489</v>
      </c>
      <c r="R114" s="15">
        <v>0</v>
      </c>
      <c r="S114" s="15">
        <f t="shared" si="3"/>
        <v>-63888.231451856489</v>
      </c>
      <c r="T114" s="16"/>
      <c r="U114" s="26"/>
    </row>
    <row r="115" spans="1:21" x14ac:dyDescent="0.25">
      <c r="A115" s="16" t="s">
        <v>37</v>
      </c>
      <c r="B115" s="16" t="s">
        <v>269</v>
      </c>
      <c r="C115" s="16" t="s">
        <v>270</v>
      </c>
      <c r="D115" s="16" t="s">
        <v>100</v>
      </c>
      <c r="E115" s="16" t="s">
        <v>101</v>
      </c>
      <c r="F115" s="16" t="s">
        <v>128</v>
      </c>
      <c r="G115" s="16" t="s">
        <v>129</v>
      </c>
      <c r="H115" s="16" t="s">
        <v>85</v>
      </c>
      <c r="I115" s="16" t="s">
        <v>40</v>
      </c>
      <c r="J115" s="16" t="s">
        <v>132</v>
      </c>
      <c r="K115" s="16" t="s">
        <v>133</v>
      </c>
      <c r="L115" s="15">
        <v>-10260.98531490727</v>
      </c>
      <c r="M115" s="15">
        <v>-10260.98531490727</v>
      </c>
      <c r="N115" s="15">
        <v>-10260.979998128665</v>
      </c>
      <c r="O115" s="15">
        <v>-5.3167786020367203E-3</v>
      </c>
      <c r="P115" s="15">
        <v>0</v>
      </c>
      <c r="Q115" s="15">
        <f t="shared" si="2"/>
        <v>0</v>
      </c>
      <c r="R115" s="15">
        <v>0</v>
      </c>
      <c r="S115" s="15">
        <f t="shared" si="3"/>
        <v>0</v>
      </c>
      <c r="T115" s="16"/>
      <c r="U115" s="16"/>
    </row>
    <row r="116" spans="1:21" x14ac:dyDescent="0.25">
      <c r="A116" s="16" t="s">
        <v>37</v>
      </c>
      <c r="B116" s="16" t="s">
        <v>269</v>
      </c>
      <c r="C116" s="16" t="s">
        <v>270</v>
      </c>
      <c r="D116" s="16" t="s">
        <v>100</v>
      </c>
      <c r="E116" s="16" t="s">
        <v>101</v>
      </c>
      <c r="F116" s="16" t="s">
        <v>128</v>
      </c>
      <c r="G116" s="16" t="s">
        <v>129</v>
      </c>
      <c r="H116" s="16" t="s">
        <v>85</v>
      </c>
      <c r="I116" s="16" t="s">
        <v>40</v>
      </c>
      <c r="J116" s="16" t="s">
        <v>64</v>
      </c>
      <c r="K116" s="16" t="s">
        <v>65</v>
      </c>
      <c r="L116" s="15">
        <v>-21561.963315181798</v>
      </c>
      <c r="M116" s="15">
        <v>0</v>
      </c>
      <c r="N116" s="15">
        <v>-18272.519971045389</v>
      </c>
      <c r="O116" s="15">
        <v>-3289.4433441364149</v>
      </c>
      <c r="P116" s="15">
        <v>-3289.4433441364149</v>
      </c>
      <c r="Q116" s="15">
        <f t="shared" si="2"/>
        <v>-3289.4433441364149</v>
      </c>
      <c r="R116" s="15">
        <v>0</v>
      </c>
      <c r="S116" s="15">
        <f t="shared" si="3"/>
        <v>-3289.4433441364149</v>
      </c>
      <c r="T116" s="16"/>
      <c r="U116" s="16"/>
    </row>
    <row r="117" spans="1:21" x14ac:dyDescent="0.25">
      <c r="A117" s="16" t="s">
        <v>37</v>
      </c>
      <c r="B117" s="16" t="s">
        <v>269</v>
      </c>
      <c r="C117" s="16" t="s">
        <v>270</v>
      </c>
      <c r="D117" s="16" t="s">
        <v>100</v>
      </c>
      <c r="E117" s="16" t="s">
        <v>101</v>
      </c>
      <c r="F117" s="16" t="s">
        <v>128</v>
      </c>
      <c r="G117" s="16" t="s">
        <v>129</v>
      </c>
      <c r="H117" s="16" t="s">
        <v>85</v>
      </c>
      <c r="I117" s="16" t="s">
        <v>40</v>
      </c>
      <c r="J117" s="16" t="s">
        <v>66</v>
      </c>
      <c r="K117" s="16" t="s">
        <v>63</v>
      </c>
      <c r="L117" s="15">
        <v>-21575.433222456802</v>
      </c>
      <c r="M117" s="15">
        <v>-21575.433222456802</v>
      </c>
      <c r="N117" s="15">
        <v>-21575.419981705989</v>
      </c>
      <c r="O117" s="15">
        <v>-1.3240750809814017E-2</v>
      </c>
      <c r="P117" s="15">
        <v>0</v>
      </c>
      <c r="Q117" s="15">
        <f t="shared" si="2"/>
        <v>0</v>
      </c>
      <c r="R117" s="15">
        <v>0</v>
      </c>
      <c r="S117" s="15">
        <f t="shared" si="3"/>
        <v>0</v>
      </c>
      <c r="T117" s="16"/>
      <c r="U117" s="16"/>
    </row>
    <row r="118" spans="1:21" x14ac:dyDescent="0.25">
      <c r="A118" s="16" t="s">
        <v>37</v>
      </c>
      <c r="B118" s="16" t="s">
        <v>257</v>
      </c>
      <c r="C118" s="16" t="s">
        <v>258</v>
      </c>
      <c r="D118" s="16" t="s">
        <v>100</v>
      </c>
      <c r="E118" s="16" t="s">
        <v>101</v>
      </c>
      <c r="F118" s="16" t="s">
        <v>128</v>
      </c>
      <c r="G118" s="16" t="s">
        <v>129</v>
      </c>
      <c r="H118" s="16" t="s">
        <v>85</v>
      </c>
      <c r="I118" s="16" t="s">
        <v>40</v>
      </c>
      <c r="J118" s="16" t="s">
        <v>67</v>
      </c>
      <c r="K118" s="16" t="s">
        <v>68</v>
      </c>
      <c r="L118" s="15">
        <v>-6120</v>
      </c>
      <c r="M118" s="15">
        <v>0</v>
      </c>
      <c r="N118" s="15">
        <v>0</v>
      </c>
      <c r="O118" s="15">
        <v>-6120</v>
      </c>
      <c r="P118" s="15">
        <v>-6120</v>
      </c>
      <c r="Q118" s="15">
        <f t="shared" si="2"/>
        <v>-6120</v>
      </c>
      <c r="R118" s="15">
        <v>0</v>
      </c>
      <c r="S118" s="15">
        <f t="shared" si="3"/>
        <v>-6120</v>
      </c>
      <c r="T118" s="16"/>
      <c r="U118" s="26"/>
    </row>
    <row r="119" spans="1:21" x14ac:dyDescent="0.25">
      <c r="A119" s="16" t="s">
        <v>37</v>
      </c>
      <c r="B119" s="16" t="s">
        <v>269</v>
      </c>
      <c r="C119" s="16" t="s">
        <v>270</v>
      </c>
      <c r="D119" s="16" t="s">
        <v>100</v>
      </c>
      <c r="E119" s="16" t="s">
        <v>101</v>
      </c>
      <c r="F119" s="16" t="s">
        <v>128</v>
      </c>
      <c r="G119" s="16" t="s">
        <v>129</v>
      </c>
      <c r="H119" s="16" t="s">
        <v>85</v>
      </c>
      <c r="I119" s="16" t="s">
        <v>40</v>
      </c>
      <c r="J119" s="16" t="s">
        <v>69</v>
      </c>
      <c r="K119" s="16" t="s">
        <v>70</v>
      </c>
      <c r="L119" s="15">
        <v>-808.83988496369807</v>
      </c>
      <c r="M119" s="15">
        <v>-808.83988496369807</v>
      </c>
      <c r="N119" s="15">
        <v>-808.849998564722</v>
      </c>
      <c r="O119" s="15">
        <v>1.0113601023761021E-2</v>
      </c>
      <c r="P119" s="15">
        <v>0</v>
      </c>
      <c r="Q119" s="15">
        <f t="shared" si="2"/>
        <v>0</v>
      </c>
      <c r="R119" s="15">
        <v>0</v>
      </c>
      <c r="S119" s="15">
        <f t="shared" si="3"/>
        <v>0</v>
      </c>
      <c r="T119" s="16"/>
      <c r="U119" s="15">
        <f>O119</f>
        <v>1.0113601023761021E-2</v>
      </c>
    </row>
    <row r="120" spans="1:21" x14ac:dyDescent="0.25">
      <c r="A120" s="16" t="s">
        <v>37</v>
      </c>
      <c r="B120" s="16" t="s">
        <v>261</v>
      </c>
      <c r="C120" s="16" t="s">
        <v>262</v>
      </c>
      <c r="D120" s="16" t="s">
        <v>100</v>
      </c>
      <c r="E120" s="16" t="s">
        <v>101</v>
      </c>
      <c r="F120" s="16" t="s">
        <v>128</v>
      </c>
      <c r="G120" s="16" t="s">
        <v>129</v>
      </c>
      <c r="H120" s="16" t="s">
        <v>85</v>
      </c>
      <c r="I120" s="16" t="s">
        <v>40</v>
      </c>
      <c r="J120" s="16" t="s">
        <v>69</v>
      </c>
      <c r="K120" s="16" t="s">
        <v>70</v>
      </c>
      <c r="L120" s="15">
        <v>-537.86999988499997</v>
      </c>
      <c r="M120" s="15">
        <v>-537.87</v>
      </c>
      <c r="N120" s="15">
        <v>-505.1268</v>
      </c>
      <c r="O120" s="15">
        <v>-32.743199885000024</v>
      </c>
      <c r="P120" s="15">
        <v>0</v>
      </c>
      <c r="Q120" s="15">
        <f t="shared" si="2"/>
        <v>0</v>
      </c>
      <c r="R120" s="15">
        <v>0</v>
      </c>
      <c r="S120" s="15">
        <f t="shared" si="3"/>
        <v>0</v>
      </c>
      <c r="T120" s="16"/>
      <c r="U120" s="15">
        <f t="shared" ref="U120:U121" si="4">O120</f>
        <v>-32.743199885000024</v>
      </c>
    </row>
    <row r="121" spans="1:21" x14ac:dyDescent="0.25">
      <c r="A121" s="16" t="s">
        <v>37</v>
      </c>
      <c r="B121" s="16" t="s">
        <v>257</v>
      </c>
      <c r="C121" s="16" t="s">
        <v>258</v>
      </c>
      <c r="D121" s="16" t="s">
        <v>100</v>
      </c>
      <c r="E121" s="16" t="s">
        <v>101</v>
      </c>
      <c r="F121" s="16" t="s">
        <v>128</v>
      </c>
      <c r="G121" s="16" t="s">
        <v>129</v>
      </c>
      <c r="H121" s="16" t="s">
        <v>85</v>
      </c>
      <c r="I121" s="16" t="s">
        <v>40</v>
      </c>
      <c r="J121" s="16" t="s">
        <v>69</v>
      </c>
      <c r="K121" s="16" t="s">
        <v>70</v>
      </c>
      <c r="L121" s="15">
        <v>-4082.2478340000002</v>
      </c>
      <c r="M121" s="15">
        <v>-4082.2478340000002</v>
      </c>
      <c r="N121" s="15">
        <v>-4030.5831589800014</v>
      </c>
      <c r="O121" s="15">
        <v>-51.664675019998867</v>
      </c>
      <c r="P121" s="15">
        <v>0</v>
      </c>
      <c r="Q121" s="15">
        <f t="shared" si="2"/>
        <v>0</v>
      </c>
      <c r="R121" s="15">
        <v>0</v>
      </c>
      <c r="S121" s="15">
        <f t="shared" si="3"/>
        <v>0</v>
      </c>
      <c r="T121" s="16"/>
      <c r="U121" s="15">
        <f t="shared" si="4"/>
        <v>-51.664675019998867</v>
      </c>
    </row>
    <row r="122" spans="1:21" x14ac:dyDescent="0.25">
      <c r="A122" s="16" t="s">
        <v>37</v>
      </c>
      <c r="B122" s="16" t="s">
        <v>257</v>
      </c>
      <c r="C122" s="16" t="s">
        <v>258</v>
      </c>
      <c r="D122" s="16" t="s">
        <v>100</v>
      </c>
      <c r="E122" s="16" t="s">
        <v>101</v>
      </c>
      <c r="F122" s="16" t="s">
        <v>128</v>
      </c>
      <c r="G122" s="16" t="s">
        <v>129</v>
      </c>
      <c r="H122" s="16" t="s">
        <v>85</v>
      </c>
      <c r="I122" s="16" t="s">
        <v>40</v>
      </c>
      <c r="J122" s="16" t="s">
        <v>134</v>
      </c>
      <c r="K122" s="16" t="s">
        <v>135</v>
      </c>
      <c r="L122" s="15">
        <v>-181817</v>
      </c>
      <c r="M122" s="15">
        <v>0</v>
      </c>
      <c r="N122" s="15">
        <v>0</v>
      </c>
      <c r="O122" s="15">
        <v>-181817</v>
      </c>
      <c r="P122" s="15">
        <v>-181817</v>
      </c>
      <c r="Q122" s="15">
        <f t="shared" si="2"/>
        <v>-181817</v>
      </c>
      <c r="R122" s="15">
        <v>0</v>
      </c>
      <c r="S122" s="15">
        <f t="shared" si="3"/>
        <v>-181817</v>
      </c>
      <c r="T122" s="16"/>
      <c r="U122" s="26"/>
    </row>
    <row r="123" spans="1:21" x14ac:dyDescent="0.25">
      <c r="A123" s="16" t="s">
        <v>37</v>
      </c>
      <c r="B123" s="16" t="s">
        <v>257</v>
      </c>
      <c r="C123" s="16" t="s">
        <v>258</v>
      </c>
      <c r="D123" s="16" t="s">
        <v>100</v>
      </c>
      <c r="E123" s="16" t="s">
        <v>101</v>
      </c>
      <c r="F123" s="16" t="s">
        <v>128</v>
      </c>
      <c r="G123" s="16" t="s">
        <v>129</v>
      </c>
      <c r="H123" s="16" t="s">
        <v>85</v>
      </c>
      <c r="I123" s="16" t="s">
        <v>40</v>
      </c>
      <c r="J123" s="16" t="s">
        <v>136</v>
      </c>
      <c r="K123" s="16" t="s">
        <v>137</v>
      </c>
      <c r="L123" s="15">
        <v>-41021.800000000025</v>
      </c>
      <c r="M123" s="15">
        <v>0</v>
      </c>
      <c r="N123" s="15">
        <v>-41021.799999999996</v>
      </c>
      <c r="O123" s="15">
        <v>-3.5498715078574605E-11</v>
      </c>
      <c r="P123" s="15">
        <v>-3.5498715078574605E-11</v>
      </c>
      <c r="Q123" s="15">
        <f t="shared" si="2"/>
        <v>-3.5498715078574605E-11</v>
      </c>
      <c r="R123" s="15">
        <v>0</v>
      </c>
      <c r="S123" s="15">
        <f t="shared" si="3"/>
        <v>-3.5498715078574605E-11</v>
      </c>
      <c r="T123" s="16"/>
      <c r="U123" s="26"/>
    </row>
    <row r="124" spans="1:21" x14ac:dyDescent="0.25">
      <c r="A124" s="16" t="s">
        <v>37</v>
      </c>
      <c r="B124" s="16" t="s">
        <v>265</v>
      </c>
      <c r="C124" s="16" t="s">
        <v>266</v>
      </c>
      <c r="D124" s="16" t="s">
        <v>100</v>
      </c>
      <c r="E124" s="16" t="s">
        <v>101</v>
      </c>
      <c r="F124" s="16" t="s">
        <v>128</v>
      </c>
      <c r="G124" s="16" t="s">
        <v>129</v>
      </c>
      <c r="H124" s="16" t="s">
        <v>85</v>
      </c>
      <c r="I124" s="16" t="s">
        <v>40</v>
      </c>
      <c r="J124" s="16" t="s">
        <v>138</v>
      </c>
      <c r="K124" s="16" t="s">
        <v>139</v>
      </c>
      <c r="L124" s="15">
        <v>-126.09095930767819</v>
      </c>
      <c r="M124" s="15">
        <v>0</v>
      </c>
      <c r="N124" s="15">
        <v>-126.09095930767818</v>
      </c>
      <c r="O124" s="15">
        <v>0</v>
      </c>
      <c r="P124" s="15">
        <v>0</v>
      </c>
      <c r="Q124" s="15">
        <f t="shared" si="2"/>
        <v>0</v>
      </c>
      <c r="R124" s="15">
        <v>0</v>
      </c>
      <c r="S124" s="15">
        <f t="shared" si="3"/>
        <v>0</v>
      </c>
      <c r="T124" s="16"/>
      <c r="U124" s="16"/>
    </row>
    <row r="125" spans="1:21" x14ac:dyDescent="0.25">
      <c r="A125" s="16" t="s">
        <v>37</v>
      </c>
      <c r="B125" s="16" t="s">
        <v>257</v>
      </c>
      <c r="C125" s="16" t="s">
        <v>258</v>
      </c>
      <c r="D125" s="16" t="s">
        <v>100</v>
      </c>
      <c r="E125" s="16" t="s">
        <v>101</v>
      </c>
      <c r="F125" s="16" t="s">
        <v>140</v>
      </c>
      <c r="G125" s="16" t="s">
        <v>141</v>
      </c>
      <c r="H125" s="16" t="s">
        <v>85</v>
      </c>
      <c r="I125" s="16" t="s">
        <v>40</v>
      </c>
      <c r="J125" s="16" t="s">
        <v>38</v>
      </c>
      <c r="K125" s="16" t="s">
        <v>293</v>
      </c>
      <c r="L125" s="15">
        <v>-4028735.1884522722</v>
      </c>
      <c r="M125" s="15">
        <v>-186230.57480532181</v>
      </c>
      <c r="N125" s="15">
        <v>-2592101.0238006269</v>
      </c>
      <c r="O125" s="15">
        <v>-1436634.1646516456</v>
      </c>
      <c r="P125" s="15">
        <v>-1436634.1646516456</v>
      </c>
      <c r="Q125" s="15">
        <f>P125-R125+P126</f>
        <v>-1396537.5224863824</v>
      </c>
      <c r="R125" s="15">
        <v>0</v>
      </c>
      <c r="S125" s="15">
        <f t="shared" si="3"/>
        <v>-1396537.5224863824</v>
      </c>
      <c r="T125" s="16"/>
      <c r="U125" s="26"/>
    </row>
    <row r="126" spans="1:21" x14ac:dyDescent="0.25">
      <c r="A126" s="28" t="s">
        <v>37</v>
      </c>
      <c r="B126" s="28" t="s">
        <v>269</v>
      </c>
      <c r="C126" s="28" t="s">
        <v>270</v>
      </c>
      <c r="D126" s="28" t="s">
        <v>100</v>
      </c>
      <c r="E126" s="28" t="s">
        <v>101</v>
      </c>
      <c r="F126" s="28" t="s">
        <v>140</v>
      </c>
      <c r="G126" s="28" t="s">
        <v>141</v>
      </c>
      <c r="H126" s="28" t="s">
        <v>85</v>
      </c>
      <c r="I126" s="28" t="s">
        <v>40</v>
      </c>
      <c r="J126" s="28" t="s">
        <v>38</v>
      </c>
      <c r="K126" s="28" t="s">
        <v>293</v>
      </c>
      <c r="L126" s="29">
        <v>-148577.61442437855</v>
      </c>
      <c r="M126" s="29">
        <v>-11210.88484715395</v>
      </c>
      <c r="N126" s="29">
        <v>-188674.25658964174</v>
      </c>
      <c r="O126" s="29">
        <v>40096.642165263169</v>
      </c>
      <c r="P126" s="29">
        <f>O126</f>
        <v>40096.642165263169</v>
      </c>
      <c r="Q126" s="29">
        <f>P126-R126-40097</f>
        <v>-0.35783473683113698</v>
      </c>
      <c r="R126" s="15">
        <v>0</v>
      </c>
      <c r="S126" s="15">
        <f t="shared" si="3"/>
        <v>-0.35783473683113698</v>
      </c>
      <c r="T126" s="16"/>
      <c r="U126" s="16"/>
    </row>
    <row r="127" spans="1:21" x14ac:dyDescent="0.25">
      <c r="A127" s="16" t="s">
        <v>37</v>
      </c>
      <c r="B127" s="16" t="s">
        <v>265</v>
      </c>
      <c r="C127" s="16" t="s">
        <v>266</v>
      </c>
      <c r="D127" s="16" t="s">
        <v>100</v>
      </c>
      <c r="E127" s="16" t="s">
        <v>101</v>
      </c>
      <c r="F127" s="16" t="s">
        <v>140</v>
      </c>
      <c r="G127" s="16" t="s">
        <v>141</v>
      </c>
      <c r="H127" s="16" t="s">
        <v>85</v>
      </c>
      <c r="I127" s="16" t="s">
        <v>40</v>
      </c>
      <c r="J127" s="16" t="s">
        <v>38</v>
      </c>
      <c r="K127" s="16" t="s">
        <v>293</v>
      </c>
      <c r="L127" s="15">
        <v>-794489.11343847611</v>
      </c>
      <c r="M127" s="15">
        <v>-31294.390648460532</v>
      </c>
      <c r="N127" s="15">
        <v>-740880.39849657589</v>
      </c>
      <c r="O127" s="15">
        <v>-53608.714941900311</v>
      </c>
      <c r="P127" s="15">
        <v>-53608.714941900311</v>
      </c>
      <c r="Q127" s="15">
        <f t="shared" si="2"/>
        <v>-53608.714941900311</v>
      </c>
      <c r="R127" s="15">
        <v>0</v>
      </c>
      <c r="S127" s="15">
        <f t="shared" si="3"/>
        <v>-53608.714941900311</v>
      </c>
      <c r="T127" s="16"/>
      <c r="U127" s="16"/>
    </row>
    <row r="128" spans="1:21" x14ac:dyDescent="0.25">
      <c r="A128" s="16" t="s">
        <v>37</v>
      </c>
      <c r="B128" s="16" t="s">
        <v>261</v>
      </c>
      <c r="C128" s="16" t="s">
        <v>262</v>
      </c>
      <c r="D128" s="16" t="s">
        <v>100</v>
      </c>
      <c r="E128" s="16" t="s">
        <v>101</v>
      </c>
      <c r="F128" s="16" t="s">
        <v>140</v>
      </c>
      <c r="G128" s="16" t="s">
        <v>141</v>
      </c>
      <c r="H128" s="16" t="s">
        <v>85</v>
      </c>
      <c r="I128" s="16" t="s">
        <v>40</v>
      </c>
      <c r="J128" s="16" t="s">
        <v>38</v>
      </c>
      <c r="K128" s="16" t="s">
        <v>293</v>
      </c>
      <c r="L128" s="15">
        <v>-274302.09735623305</v>
      </c>
      <c r="M128" s="15">
        <v>-61.659999999999989</v>
      </c>
      <c r="N128" s="15">
        <v>-259837.67774748703</v>
      </c>
      <c r="O128" s="15">
        <v>-14464.419608746051</v>
      </c>
      <c r="P128" s="15">
        <v>-14464.419608746051</v>
      </c>
      <c r="Q128" s="15">
        <f t="shared" si="2"/>
        <v>-14464.419608746051</v>
      </c>
      <c r="R128" s="15">
        <v>0</v>
      </c>
      <c r="S128" s="15">
        <f t="shared" si="3"/>
        <v>-14464.419608746051</v>
      </c>
      <c r="T128" s="16"/>
      <c r="U128" s="16"/>
    </row>
    <row r="129" spans="1:21" x14ac:dyDescent="0.25">
      <c r="A129" s="16" t="s">
        <v>37</v>
      </c>
      <c r="B129" s="16" t="s">
        <v>257</v>
      </c>
      <c r="C129" s="16" t="s">
        <v>258</v>
      </c>
      <c r="D129" s="16" t="s">
        <v>100</v>
      </c>
      <c r="E129" s="16" t="s">
        <v>101</v>
      </c>
      <c r="F129" s="16" t="s">
        <v>140</v>
      </c>
      <c r="G129" s="16" t="s">
        <v>141</v>
      </c>
      <c r="H129" s="16" t="s">
        <v>85</v>
      </c>
      <c r="I129" s="16" t="s">
        <v>40</v>
      </c>
      <c r="J129" s="16" t="s">
        <v>285</v>
      </c>
      <c r="K129" s="16" t="s">
        <v>286</v>
      </c>
      <c r="L129" s="15">
        <v>-397110.5</v>
      </c>
      <c r="M129" s="15">
        <v>-397110.5</v>
      </c>
      <c r="N129" s="15">
        <v>-285454.62</v>
      </c>
      <c r="O129" s="15">
        <v>-111655.88000000003</v>
      </c>
      <c r="P129" s="15">
        <f>O129</f>
        <v>-111655.88000000003</v>
      </c>
      <c r="Q129" s="15">
        <f t="shared" si="2"/>
        <v>13220.089999999967</v>
      </c>
      <c r="R129" s="15">
        <v>-124875.97</v>
      </c>
      <c r="S129" s="15">
        <f t="shared" si="3"/>
        <v>-111655.88000000003</v>
      </c>
      <c r="T129" s="16"/>
      <c r="U129" s="26"/>
    </row>
    <row r="130" spans="1:21" x14ac:dyDescent="0.25">
      <c r="A130" s="16" t="s">
        <v>37</v>
      </c>
      <c r="B130" s="16" t="s">
        <v>257</v>
      </c>
      <c r="C130" s="16" t="s">
        <v>258</v>
      </c>
      <c r="D130" s="16" t="s">
        <v>100</v>
      </c>
      <c r="E130" s="16" t="s">
        <v>101</v>
      </c>
      <c r="F130" s="16" t="s">
        <v>140</v>
      </c>
      <c r="G130" s="16" t="s">
        <v>141</v>
      </c>
      <c r="H130" s="16" t="s">
        <v>85</v>
      </c>
      <c r="I130" s="16" t="s">
        <v>40</v>
      </c>
      <c r="J130" s="16" t="s">
        <v>142</v>
      </c>
      <c r="K130" s="16" t="s">
        <v>143</v>
      </c>
      <c r="L130" s="15">
        <v>-6466.4320000000007</v>
      </c>
      <c r="M130" s="15">
        <v>0</v>
      </c>
      <c r="N130" s="15">
        <v>0</v>
      </c>
      <c r="O130" s="15">
        <v>-6466.4320000000007</v>
      </c>
      <c r="P130" s="15">
        <v>-6466.4320000000007</v>
      </c>
      <c r="Q130" s="15">
        <f t="shared" si="2"/>
        <v>-6466.4320000000007</v>
      </c>
      <c r="R130" s="15">
        <v>0</v>
      </c>
      <c r="S130" s="15">
        <f t="shared" si="3"/>
        <v>-6466.4320000000007</v>
      </c>
      <c r="T130" s="16"/>
      <c r="U130" s="26"/>
    </row>
    <row r="131" spans="1:21" x14ac:dyDescent="0.25">
      <c r="A131" s="16" t="s">
        <v>37</v>
      </c>
      <c r="B131" s="16" t="s">
        <v>269</v>
      </c>
      <c r="C131" s="16" t="s">
        <v>270</v>
      </c>
      <c r="D131" s="16" t="s">
        <v>100</v>
      </c>
      <c r="E131" s="16" t="s">
        <v>101</v>
      </c>
      <c r="F131" s="16" t="s">
        <v>140</v>
      </c>
      <c r="G131" s="16" t="s">
        <v>141</v>
      </c>
      <c r="H131" s="16" t="s">
        <v>85</v>
      </c>
      <c r="I131" s="16" t="s">
        <v>40</v>
      </c>
      <c r="J131" s="16" t="s">
        <v>130</v>
      </c>
      <c r="K131" s="16" t="s">
        <v>131</v>
      </c>
      <c r="L131" s="15">
        <v>-6657.7100000229866</v>
      </c>
      <c r="M131" s="15">
        <v>-6657.7100000229866</v>
      </c>
      <c r="N131" s="15">
        <v>0</v>
      </c>
      <c r="O131" s="15">
        <v>-6657.7100000229866</v>
      </c>
      <c r="P131" s="15">
        <v>-6657.7100000229866</v>
      </c>
      <c r="Q131" s="15">
        <f t="shared" si="2"/>
        <v>-6657.7100000229866</v>
      </c>
      <c r="R131" s="15">
        <v>0</v>
      </c>
      <c r="S131" s="15">
        <f t="shared" si="3"/>
        <v>-6657.7100000229866</v>
      </c>
      <c r="T131" s="16"/>
      <c r="U131" s="16"/>
    </row>
    <row r="132" spans="1:21" x14ac:dyDescent="0.25">
      <c r="A132" s="16" t="s">
        <v>37</v>
      </c>
      <c r="B132" s="16" t="s">
        <v>257</v>
      </c>
      <c r="C132" s="16" t="s">
        <v>258</v>
      </c>
      <c r="D132" s="16" t="s">
        <v>100</v>
      </c>
      <c r="E132" s="16" t="s">
        <v>101</v>
      </c>
      <c r="F132" s="16" t="s">
        <v>140</v>
      </c>
      <c r="G132" s="16" t="s">
        <v>141</v>
      </c>
      <c r="H132" s="16" t="s">
        <v>85</v>
      </c>
      <c r="I132" s="16" t="s">
        <v>40</v>
      </c>
      <c r="J132" s="16" t="s">
        <v>296</v>
      </c>
      <c r="K132" s="16" t="s">
        <v>297</v>
      </c>
      <c r="L132" s="15">
        <v>-6254.9849989086997</v>
      </c>
      <c r="M132" s="15">
        <v>-25.75603255</v>
      </c>
      <c r="N132" s="15">
        <v>-6051.5421159999996</v>
      </c>
      <c r="O132" s="15">
        <v>-203.44288290870054</v>
      </c>
      <c r="P132" s="15">
        <v>-203.44288290870054</v>
      </c>
      <c r="Q132" s="15">
        <f t="shared" si="2"/>
        <v>-203.44288290870054</v>
      </c>
      <c r="R132" s="15">
        <v>0</v>
      </c>
      <c r="S132" s="15">
        <f t="shared" si="3"/>
        <v>-203.44288290870054</v>
      </c>
      <c r="T132" s="16"/>
      <c r="U132" s="26"/>
    </row>
    <row r="133" spans="1:21" x14ac:dyDescent="0.25">
      <c r="A133" s="16" t="s">
        <v>37</v>
      </c>
      <c r="B133" s="16" t="s">
        <v>257</v>
      </c>
      <c r="C133" s="16" t="s">
        <v>258</v>
      </c>
      <c r="D133" s="16" t="s">
        <v>100</v>
      </c>
      <c r="E133" s="16" t="s">
        <v>101</v>
      </c>
      <c r="F133" s="16" t="s">
        <v>140</v>
      </c>
      <c r="G133" s="16" t="s">
        <v>141</v>
      </c>
      <c r="H133" s="16" t="s">
        <v>85</v>
      </c>
      <c r="I133" s="16" t="s">
        <v>40</v>
      </c>
      <c r="J133" s="16" t="s">
        <v>124</v>
      </c>
      <c r="K133" s="16" t="s">
        <v>125</v>
      </c>
      <c r="L133" s="15">
        <v>-149.5539</v>
      </c>
      <c r="M133" s="15">
        <v>0</v>
      </c>
      <c r="N133" s="15">
        <v>-113.156622</v>
      </c>
      <c r="O133" s="15">
        <v>-36.397277999999993</v>
      </c>
      <c r="P133" s="15">
        <v>0</v>
      </c>
      <c r="Q133" s="15">
        <f t="shared" ref="Q133:Q196" si="5">P133-R133</f>
        <v>0</v>
      </c>
      <c r="R133" s="15">
        <v>0</v>
      </c>
      <c r="S133" s="15">
        <f t="shared" ref="S133:S196" si="6">SUM(Q133:R133)</f>
        <v>0</v>
      </c>
      <c r="T133" s="16"/>
      <c r="U133" s="26"/>
    </row>
    <row r="134" spans="1:21" x14ac:dyDescent="0.25">
      <c r="A134" s="16" t="s">
        <v>37</v>
      </c>
      <c r="B134" s="16" t="s">
        <v>269</v>
      </c>
      <c r="C134" s="16" t="s">
        <v>270</v>
      </c>
      <c r="D134" s="16" t="s">
        <v>100</v>
      </c>
      <c r="E134" s="16" t="s">
        <v>101</v>
      </c>
      <c r="F134" s="16" t="s">
        <v>140</v>
      </c>
      <c r="G134" s="16" t="s">
        <v>141</v>
      </c>
      <c r="H134" s="16" t="s">
        <v>85</v>
      </c>
      <c r="I134" s="16" t="s">
        <v>40</v>
      </c>
      <c r="J134" s="16" t="s">
        <v>124</v>
      </c>
      <c r="K134" s="16" t="s">
        <v>125</v>
      </c>
      <c r="L134" s="15">
        <v>-671.56965108373811</v>
      </c>
      <c r="M134" s="15">
        <v>0</v>
      </c>
      <c r="N134" s="15">
        <v>-543.80999999999972</v>
      </c>
      <c r="O134" s="15">
        <v>-127.75965108373855</v>
      </c>
      <c r="P134" s="15">
        <v>0</v>
      </c>
      <c r="Q134" s="15">
        <f t="shared" si="5"/>
        <v>0</v>
      </c>
      <c r="R134" s="15">
        <v>0</v>
      </c>
      <c r="S134" s="15">
        <f t="shared" si="6"/>
        <v>0</v>
      </c>
      <c r="T134" s="16"/>
      <c r="U134" s="16"/>
    </row>
    <row r="135" spans="1:21" x14ac:dyDescent="0.25">
      <c r="A135" s="16" t="s">
        <v>37</v>
      </c>
      <c r="B135" s="16" t="s">
        <v>265</v>
      </c>
      <c r="C135" s="16" t="s">
        <v>266</v>
      </c>
      <c r="D135" s="16" t="s">
        <v>100</v>
      </c>
      <c r="E135" s="16" t="s">
        <v>101</v>
      </c>
      <c r="F135" s="16" t="s">
        <v>140</v>
      </c>
      <c r="G135" s="16" t="s">
        <v>141</v>
      </c>
      <c r="H135" s="16" t="s">
        <v>85</v>
      </c>
      <c r="I135" s="16" t="s">
        <v>40</v>
      </c>
      <c r="J135" s="16" t="s">
        <v>124</v>
      </c>
      <c r="K135" s="16" t="s">
        <v>125</v>
      </c>
      <c r="L135" s="15">
        <v>-51281.88845654724</v>
      </c>
      <c r="M135" s="15">
        <v>0</v>
      </c>
      <c r="N135" s="15">
        <v>-49764.879836642795</v>
      </c>
      <c r="O135" s="15">
        <v>-1517.0086199044713</v>
      </c>
      <c r="P135" s="15">
        <v>0</v>
      </c>
      <c r="Q135" s="15">
        <f t="shared" si="5"/>
        <v>0</v>
      </c>
      <c r="R135" s="15">
        <v>0</v>
      </c>
      <c r="S135" s="15">
        <f t="shared" si="6"/>
        <v>0</v>
      </c>
      <c r="T135" s="16"/>
      <c r="U135" s="16"/>
    </row>
    <row r="136" spans="1:21" x14ac:dyDescent="0.25">
      <c r="A136" s="16" t="s">
        <v>37</v>
      </c>
      <c r="B136" s="16" t="s">
        <v>261</v>
      </c>
      <c r="C136" s="16" t="s">
        <v>262</v>
      </c>
      <c r="D136" s="16" t="s">
        <v>100</v>
      </c>
      <c r="E136" s="16" t="s">
        <v>101</v>
      </c>
      <c r="F136" s="16" t="s">
        <v>140</v>
      </c>
      <c r="G136" s="16" t="s">
        <v>141</v>
      </c>
      <c r="H136" s="16" t="s">
        <v>85</v>
      </c>
      <c r="I136" s="16" t="s">
        <v>40</v>
      </c>
      <c r="J136" s="16" t="s">
        <v>124</v>
      </c>
      <c r="K136" s="16" t="s">
        <v>125</v>
      </c>
      <c r="L136" s="15">
        <v>-17062.097532159998</v>
      </c>
      <c r="M136" s="15">
        <v>0</v>
      </c>
      <c r="N136" s="15">
        <v>-17059.679897909598</v>
      </c>
      <c r="O136" s="15">
        <v>-2.417634250401079</v>
      </c>
      <c r="P136" s="15">
        <v>0</v>
      </c>
      <c r="Q136" s="15">
        <f t="shared" si="5"/>
        <v>0</v>
      </c>
      <c r="R136" s="15">
        <v>0</v>
      </c>
      <c r="S136" s="15">
        <f t="shared" si="6"/>
        <v>0</v>
      </c>
      <c r="T136" s="16"/>
      <c r="U136" s="16"/>
    </row>
    <row r="137" spans="1:21" x14ac:dyDescent="0.25">
      <c r="A137" s="16" t="s">
        <v>37</v>
      </c>
      <c r="B137" s="16" t="s">
        <v>257</v>
      </c>
      <c r="C137" s="16" t="s">
        <v>258</v>
      </c>
      <c r="D137" s="16" t="s">
        <v>100</v>
      </c>
      <c r="E137" s="16" t="s">
        <v>101</v>
      </c>
      <c r="F137" s="16" t="s">
        <v>140</v>
      </c>
      <c r="G137" s="16" t="s">
        <v>141</v>
      </c>
      <c r="H137" s="16" t="s">
        <v>85</v>
      </c>
      <c r="I137" s="16" t="s">
        <v>40</v>
      </c>
      <c r="J137" s="16" t="s">
        <v>298</v>
      </c>
      <c r="K137" s="16" t="s">
        <v>299</v>
      </c>
      <c r="L137" s="15">
        <v>-3006.4364575400004</v>
      </c>
      <c r="M137" s="15">
        <v>-122.97766500000003</v>
      </c>
      <c r="N137" s="15">
        <v>-1908.9943772926001</v>
      </c>
      <c r="O137" s="15">
        <v>-1097.4420802473999</v>
      </c>
      <c r="P137" s="15">
        <v>-1097.4420802473999</v>
      </c>
      <c r="Q137" s="15">
        <f t="shared" si="5"/>
        <v>-1097.4420802473999</v>
      </c>
      <c r="R137" s="15">
        <v>0</v>
      </c>
      <c r="S137" s="15">
        <f t="shared" si="6"/>
        <v>-1097.4420802473999</v>
      </c>
      <c r="T137" s="16"/>
      <c r="U137" s="26"/>
    </row>
    <row r="138" spans="1:21" x14ac:dyDescent="0.25">
      <c r="A138" s="16" t="s">
        <v>37</v>
      </c>
      <c r="B138" s="16" t="s">
        <v>269</v>
      </c>
      <c r="C138" s="16" t="s">
        <v>270</v>
      </c>
      <c r="D138" s="16" t="s">
        <v>100</v>
      </c>
      <c r="E138" s="16" t="s">
        <v>101</v>
      </c>
      <c r="F138" s="16" t="s">
        <v>140</v>
      </c>
      <c r="G138" s="16" t="s">
        <v>141</v>
      </c>
      <c r="H138" s="16" t="s">
        <v>85</v>
      </c>
      <c r="I138" s="16" t="s">
        <v>40</v>
      </c>
      <c r="J138" s="16" t="s">
        <v>132</v>
      </c>
      <c r="K138" s="16" t="s">
        <v>133</v>
      </c>
      <c r="L138" s="15">
        <v>-21710.466498866328</v>
      </c>
      <c r="M138" s="15">
        <v>-21710.466788866328</v>
      </c>
      <c r="N138" s="15">
        <v>-21710.459996040576</v>
      </c>
      <c r="O138" s="15">
        <v>-6.502825747247698E-3</v>
      </c>
      <c r="P138" s="15">
        <v>0</v>
      </c>
      <c r="Q138" s="15">
        <f t="shared" si="5"/>
        <v>0</v>
      </c>
      <c r="R138" s="15">
        <v>0</v>
      </c>
      <c r="S138" s="15">
        <f t="shared" si="6"/>
        <v>0</v>
      </c>
      <c r="T138" s="16"/>
      <c r="U138" s="16"/>
    </row>
    <row r="139" spans="1:21" x14ac:dyDescent="0.25">
      <c r="A139" s="16" t="s">
        <v>37</v>
      </c>
      <c r="B139" s="16" t="s">
        <v>269</v>
      </c>
      <c r="C139" s="16" t="s">
        <v>270</v>
      </c>
      <c r="D139" s="16" t="s">
        <v>100</v>
      </c>
      <c r="E139" s="16" t="s">
        <v>101</v>
      </c>
      <c r="F139" s="16" t="s">
        <v>140</v>
      </c>
      <c r="G139" s="16" t="s">
        <v>141</v>
      </c>
      <c r="H139" s="16" t="s">
        <v>85</v>
      </c>
      <c r="I139" s="16" t="s">
        <v>40</v>
      </c>
      <c r="J139" s="16" t="s">
        <v>64</v>
      </c>
      <c r="K139" s="16" t="s">
        <v>65</v>
      </c>
      <c r="L139" s="15">
        <v>-43740.610264091134</v>
      </c>
      <c r="M139" s="15">
        <v>0</v>
      </c>
      <c r="N139" s="15">
        <v>-37801.619940099605</v>
      </c>
      <c r="O139" s="15">
        <v>-5938.9903239915402</v>
      </c>
      <c r="P139" s="15">
        <v>-5938.9903239915402</v>
      </c>
      <c r="Q139" s="15">
        <f t="shared" si="5"/>
        <v>-5938.9903239915402</v>
      </c>
      <c r="R139" s="15">
        <v>0</v>
      </c>
      <c r="S139" s="15">
        <f t="shared" si="6"/>
        <v>-5938.9903239915402</v>
      </c>
      <c r="T139" s="16"/>
      <c r="U139" s="16"/>
    </row>
    <row r="140" spans="1:21" x14ac:dyDescent="0.25">
      <c r="A140" s="16" t="s">
        <v>37</v>
      </c>
      <c r="B140" s="16" t="s">
        <v>269</v>
      </c>
      <c r="C140" s="16" t="s">
        <v>270</v>
      </c>
      <c r="D140" s="16" t="s">
        <v>100</v>
      </c>
      <c r="E140" s="16" t="s">
        <v>101</v>
      </c>
      <c r="F140" s="16" t="s">
        <v>140</v>
      </c>
      <c r="G140" s="16" t="s">
        <v>141</v>
      </c>
      <c r="H140" s="16" t="s">
        <v>85</v>
      </c>
      <c r="I140" s="16" t="s">
        <v>40</v>
      </c>
      <c r="J140" s="16" t="s">
        <v>66</v>
      </c>
      <c r="K140" s="16" t="s">
        <v>63</v>
      </c>
      <c r="L140" s="15">
        <v>-29040.272935998135</v>
      </c>
      <c r="M140" s="15">
        <v>-29040.274205998139</v>
      </c>
      <c r="N140" s="15">
        <v>-29040.279975376459</v>
      </c>
      <c r="O140" s="15">
        <v>7.0393783280451316E-3</v>
      </c>
      <c r="P140" s="15">
        <v>0</v>
      </c>
      <c r="Q140" s="15">
        <f t="shared" si="5"/>
        <v>0</v>
      </c>
      <c r="R140" s="15">
        <v>0</v>
      </c>
      <c r="S140" s="15">
        <f t="shared" si="6"/>
        <v>0</v>
      </c>
      <c r="T140" s="16"/>
      <c r="U140" s="16"/>
    </row>
    <row r="141" spans="1:21" x14ac:dyDescent="0.25">
      <c r="A141" s="16" t="s">
        <v>37</v>
      </c>
      <c r="B141" s="16" t="s">
        <v>257</v>
      </c>
      <c r="C141" s="16" t="s">
        <v>258</v>
      </c>
      <c r="D141" s="16" t="s">
        <v>100</v>
      </c>
      <c r="E141" s="16" t="s">
        <v>101</v>
      </c>
      <c r="F141" s="16" t="s">
        <v>140</v>
      </c>
      <c r="G141" s="16" t="s">
        <v>141</v>
      </c>
      <c r="H141" s="16" t="s">
        <v>85</v>
      </c>
      <c r="I141" s="16" t="s">
        <v>40</v>
      </c>
      <c r="J141" s="16" t="s">
        <v>67</v>
      </c>
      <c r="K141" s="16" t="s">
        <v>68</v>
      </c>
      <c r="L141" s="15">
        <v>-2000</v>
      </c>
      <c r="M141" s="15">
        <v>0</v>
      </c>
      <c r="N141" s="15">
        <v>0</v>
      </c>
      <c r="O141" s="15">
        <v>-2000</v>
      </c>
      <c r="P141" s="15">
        <v>-2000</v>
      </c>
      <c r="Q141" s="15">
        <f t="shared" si="5"/>
        <v>-2000</v>
      </c>
      <c r="R141" s="15">
        <v>0</v>
      </c>
      <c r="S141" s="15">
        <f t="shared" si="6"/>
        <v>-2000</v>
      </c>
      <c r="T141" s="16"/>
      <c r="U141" s="26"/>
    </row>
    <row r="142" spans="1:21" x14ac:dyDescent="0.25">
      <c r="A142" s="16" t="s">
        <v>37</v>
      </c>
      <c r="B142" s="16" t="s">
        <v>269</v>
      </c>
      <c r="C142" s="16" t="s">
        <v>270</v>
      </c>
      <c r="D142" s="16" t="s">
        <v>100</v>
      </c>
      <c r="E142" s="16" t="s">
        <v>101</v>
      </c>
      <c r="F142" s="16" t="s">
        <v>140</v>
      </c>
      <c r="G142" s="16" t="s">
        <v>141</v>
      </c>
      <c r="H142" s="16" t="s">
        <v>85</v>
      </c>
      <c r="I142" s="16" t="s">
        <v>40</v>
      </c>
      <c r="J142" s="16" t="s">
        <v>69</v>
      </c>
      <c r="K142" s="16" t="s">
        <v>70</v>
      </c>
      <c r="L142" s="15">
        <v>-666.04809808324433</v>
      </c>
      <c r="M142" s="15">
        <v>-666.04809808324433</v>
      </c>
      <c r="N142" s="15">
        <v>-666.04999881811591</v>
      </c>
      <c r="O142" s="15">
        <v>1.900734871632892E-3</v>
      </c>
      <c r="P142" s="15">
        <v>0</v>
      </c>
      <c r="Q142" s="15">
        <f t="shared" si="5"/>
        <v>0</v>
      </c>
      <c r="R142" s="15">
        <v>0</v>
      </c>
      <c r="S142" s="15">
        <f t="shared" si="6"/>
        <v>0</v>
      </c>
      <c r="T142" s="16"/>
      <c r="U142" s="15">
        <f t="shared" ref="U142:U144" si="7">O142</f>
        <v>1.900734871632892E-3</v>
      </c>
    </row>
    <row r="143" spans="1:21" x14ac:dyDescent="0.25">
      <c r="A143" s="16" t="s">
        <v>37</v>
      </c>
      <c r="B143" s="16" t="s">
        <v>261</v>
      </c>
      <c r="C143" s="16" t="s">
        <v>262</v>
      </c>
      <c r="D143" s="16" t="s">
        <v>100</v>
      </c>
      <c r="E143" s="16" t="s">
        <v>101</v>
      </c>
      <c r="F143" s="16" t="s">
        <v>140</v>
      </c>
      <c r="G143" s="16" t="s">
        <v>141</v>
      </c>
      <c r="H143" s="16" t="s">
        <v>85</v>
      </c>
      <c r="I143" s="16" t="s">
        <v>40</v>
      </c>
      <c r="J143" s="16" t="s">
        <v>69</v>
      </c>
      <c r="K143" s="16" t="s">
        <v>70</v>
      </c>
      <c r="L143" s="15">
        <v>-1796.009899616</v>
      </c>
      <c r="M143" s="15">
        <v>-1796.01</v>
      </c>
      <c r="N143" s="15">
        <v>-1510.7033000000001</v>
      </c>
      <c r="O143" s="15">
        <v>-285.30659961599986</v>
      </c>
      <c r="P143" s="15">
        <v>0</v>
      </c>
      <c r="Q143" s="15">
        <f t="shared" si="5"/>
        <v>0</v>
      </c>
      <c r="R143" s="15">
        <v>0</v>
      </c>
      <c r="S143" s="15">
        <f t="shared" si="6"/>
        <v>0</v>
      </c>
      <c r="T143" s="16"/>
      <c r="U143" s="15">
        <f t="shared" si="7"/>
        <v>-285.30659961599986</v>
      </c>
    </row>
    <row r="144" spans="1:21" x14ac:dyDescent="0.25">
      <c r="A144" s="16" t="s">
        <v>37</v>
      </c>
      <c r="B144" s="16" t="s">
        <v>257</v>
      </c>
      <c r="C144" s="16" t="s">
        <v>258</v>
      </c>
      <c r="D144" s="16" t="s">
        <v>100</v>
      </c>
      <c r="E144" s="16" t="s">
        <v>101</v>
      </c>
      <c r="F144" s="16" t="s">
        <v>140</v>
      </c>
      <c r="G144" s="16" t="s">
        <v>141</v>
      </c>
      <c r="H144" s="16" t="s">
        <v>85</v>
      </c>
      <c r="I144" s="16" t="s">
        <v>40</v>
      </c>
      <c r="J144" s="16" t="s">
        <v>69</v>
      </c>
      <c r="K144" s="16" t="s">
        <v>70</v>
      </c>
      <c r="L144" s="15">
        <v>-1332.5309750000001</v>
      </c>
      <c r="M144" s="15">
        <v>-1332.5309750000001</v>
      </c>
      <c r="N144" s="15">
        <v>-1315.6665457500001</v>
      </c>
      <c r="O144" s="15">
        <v>-16.864429249999773</v>
      </c>
      <c r="P144" s="15">
        <v>0</v>
      </c>
      <c r="Q144" s="15">
        <f t="shared" si="5"/>
        <v>0</v>
      </c>
      <c r="R144" s="15">
        <v>0</v>
      </c>
      <c r="S144" s="15">
        <f t="shared" si="6"/>
        <v>0</v>
      </c>
      <c r="T144" s="16"/>
      <c r="U144" s="15">
        <f t="shared" si="7"/>
        <v>-16.864429249999773</v>
      </c>
    </row>
    <row r="145" spans="1:21" x14ac:dyDescent="0.25">
      <c r="A145" s="16" t="s">
        <v>37</v>
      </c>
      <c r="B145" s="16" t="s">
        <v>257</v>
      </c>
      <c r="C145" s="16" t="s">
        <v>258</v>
      </c>
      <c r="D145" s="16" t="s">
        <v>100</v>
      </c>
      <c r="E145" s="16" t="s">
        <v>101</v>
      </c>
      <c r="F145" s="16" t="s">
        <v>140</v>
      </c>
      <c r="G145" s="16" t="s">
        <v>141</v>
      </c>
      <c r="H145" s="16" t="s">
        <v>85</v>
      </c>
      <c r="I145" s="16" t="s">
        <v>40</v>
      </c>
      <c r="J145" s="16" t="s">
        <v>136</v>
      </c>
      <c r="K145" s="16" t="s">
        <v>137</v>
      </c>
      <c r="L145" s="15">
        <v>-45318.900000000031</v>
      </c>
      <c r="M145" s="15">
        <v>0</v>
      </c>
      <c r="N145" s="15">
        <v>-45318.9</v>
      </c>
      <c r="O145" s="15">
        <v>-3.637978807091713E-11</v>
      </c>
      <c r="P145" s="15">
        <v>-3.637978807091713E-11</v>
      </c>
      <c r="Q145" s="15">
        <f t="shared" si="5"/>
        <v>-3.637978807091713E-11</v>
      </c>
      <c r="R145" s="15">
        <v>0</v>
      </c>
      <c r="S145" s="15">
        <f t="shared" si="6"/>
        <v>-3.637978807091713E-11</v>
      </c>
      <c r="T145" s="16"/>
      <c r="U145" s="26"/>
    </row>
    <row r="146" spans="1:21" x14ac:dyDescent="0.25">
      <c r="A146" s="16" t="s">
        <v>37</v>
      </c>
      <c r="B146" s="16" t="s">
        <v>265</v>
      </c>
      <c r="C146" s="16" t="s">
        <v>266</v>
      </c>
      <c r="D146" s="16" t="s">
        <v>100</v>
      </c>
      <c r="E146" s="16" t="s">
        <v>101</v>
      </c>
      <c r="F146" s="16" t="s">
        <v>140</v>
      </c>
      <c r="G146" s="16" t="s">
        <v>141</v>
      </c>
      <c r="H146" s="16" t="s">
        <v>85</v>
      </c>
      <c r="I146" s="16" t="s">
        <v>40</v>
      </c>
      <c r="J146" s="16" t="s">
        <v>138</v>
      </c>
      <c r="K146" s="16" t="s">
        <v>139</v>
      </c>
      <c r="L146" s="15">
        <v>-769.60517663150699</v>
      </c>
      <c r="M146" s="15">
        <v>0</v>
      </c>
      <c r="N146" s="15">
        <v>-769.60517663150699</v>
      </c>
      <c r="O146" s="15">
        <v>5.6843418860808015E-14</v>
      </c>
      <c r="P146" s="15">
        <v>0</v>
      </c>
      <c r="Q146" s="15">
        <f t="shared" si="5"/>
        <v>0</v>
      </c>
      <c r="R146" s="15">
        <v>0</v>
      </c>
      <c r="S146" s="15">
        <f t="shared" si="6"/>
        <v>0</v>
      </c>
      <c r="T146" s="16"/>
      <c r="U146" s="16"/>
    </row>
    <row r="147" spans="1:21" x14ac:dyDescent="0.25">
      <c r="A147" s="28" t="s">
        <v>37</v>
      </c>
      <c r="B147" s="28" t="s">
        <v>269</v>
      </c>
      <c r="C147" s="28" t="s">
        <v>270</v>
      </c>
      <c r="D147" s="28" t="s">
        <v>100</v>
      </c>
      <c r="E147" s="28" t="s">
        <v>101</v>
      </c>
      <c r="F147" s="28" t="s">
        <v>144</v>
      </c>
      <c r="G147" s="28" t="s">
        <v>145</v>
      </c>
      <c r="H147" s="28" t="s">
        <v>85</v>
      </c>
      <c r="I147" s="28" t="s">
        <v>40</v>
      </c>
      <c r="J147" s="28" t="s">
        <v>38</v>
      </c>
      <c r="K147" s="28" t="s">
        <v>293</v>
      </c>
      <c r="L147" s="29">
        <v>-87154.49408469288</v>
      </c>
      <c r="M147" s="29">
        <v>-1998.1587479164443</v>
      </c>
      <c r="N147" s="29">
        <v>-113576.83324229773</v>
      </c>
      <c r="O147" s="29">
        <v>26422.339157604845</v>
      </c>
      <c r="P147" s="29">
        <f>O147</f>
        <v>26422.339157604845</v>
      </c>
      <c r="Q147" s="29">
        <f>P147-R147-26422</f>
        <v>0.33915760484524071</v>
      </c>
      <c r="R147" s="15">
        <v>0</v>
      </c>
      <c r="S147" s="15">
        <f t="shared" si="6"/>
        <v>0.33915760484524071</v>
      </c>
      <c r="T147" s="16"/>
      <c r="U147" s="16"/>
    </row>
    <row r="148" spans="1:21" x14ac:dyDescent="0.25">
      <c r="A148" s="16" t="s">
        <v>37</v>
      </c>
      <c r="B148" s="16" t="s">
        <v>265</v>
      </c>
      <c r="C148" s="16" t="s">
        <v>266</v>
      </c>
      <c r="D148" s="16" t="s">
        <v>100</v>
      </c>
      <c r="E148" s="16" t="s">
        <v>101</v>
      </c>
      <c r="F148" s="16" t="s">
        <v>144</v>
      </c>
      <c r="G148" s="16" t="s">
        <v>145</v>
      </c>
      <c r="H148" s="16" t="s">
        <v>85</v>
      </c>
      <c r="I148" s="16" t="s">
        <v>40</v>
      </c>
      <c r="J148" s="16" t="s">
        <v>38</v>
      </c>
      <c r="K148" s="16" t="s">
        <v>293</v>
      </c>
      <c r="L148" s="15">
        <v>-658900.91662970942</v>
      </c>
      <c r="M148" s="15">
        <v>-9958.4202063514367</v>
      </c>
      <c r="N148" s="15">
        <v>-618516.97375804605</v>
      </c>
      <c r="O148" s="15">
        <v>-40383.942871663334</v>
      </c>
      <c r="P148" s="15">
        <v>-40383.942871663334</v>
      </c>
      <c r="Q148" s="15">
        <f t="shared" si="5"/>
        <v>-40383.942871663334</v>
      </c>
      <c r="R148" s="15">
        <v>0</v>
      </c>
      <c r="S148" s="15">
        <f t="shared" si="6"/>
        <v>-40383.942871663334</v>
      </c>
      <c r="T148" s="16"/>
      <c r="U148" s="16"/>
    </row>
    <row r="149" spans="1:21" x14ac:dyDescent="0.25">
      <c r="A149" s="16" t="s">
        <v>37</v>
      </c>
      <c r="B149" s="16" t="s">
        <v>257</v>
      </c>
      <c r="C149" s="16" t="s">
        <v>258</v>
      </c>
      <c r="D149" s="16" t="s">
        <v>100</v>
      </c>
      <c r="E149" s="16" t="s">
        <v>101</v>
      </c>
      <c r="F149" s="16" t="s">
        <v>144</v>
      </c>
      <c r="G149" s="16" t="s">
        <v>145</v>
      </c>
      <c r="H149" s="16" t="s">
        <v>85</v>
      </c>
      <c r="I149" s="16" t="s">
        <v>40</v>
      </c>
      <c r="J149" s="16" t="s">
        <v>38</v>
      </c>
      <c r="K149" s="16" t="s">
        <v>293</v>
      </c>
      <c r="L149" s="15">
        <v>-742159.80312467972</v>
      </c>
      <c r="M149" s="15">
        <v>-66682.434830080892</v>
      </c>
      <c r="N149" s="15">
        <v>-469297.26454015228</v>
      </c>
      <c r="O149" s="15">
        <v>-272862.53858452721</v>
      </c>
      <c r="P149" s="15">
        <v>-272862.53858452721</v>
      </c>
      <c r="Q149" s="15">
        <f>P149-R149+P147</f>
        <v>-246440.19942692237</v>
      </c>
      <c r="R149" s="15">
        <v>0</v>
      </c>
      <c r="S149" s="15">
        <f t="shared" si="6"/>
        <v>-246440.19942692237</v>
      </c>
      <c r="T149" s="16"/>
      <c r="U149" s="26"/>
    </row>
    <row r="150" spans="1:21" x14ac:dyDescent="0.25">
      <c r="A150" s="16" t="s">
        <v>37</v>
      </c>
      <c r="B150" s="16" t="s">
        <v>269</v>
      </c>
      <c r="C150" s="16" t="s">
        <v>270</v>
      </c>
      <c r="D150" s="16" t="s">
        <v>100</v>
      </c>
      <c r="E150" s="16" t="s">
        <v>101</v>
      </c>
      <c r="F150" s="16" t="s">
        <v>144</v>
      </c>
      <c r="G150" s="16" t="s">
        <v>145</v>
      </c>
      <c r="H150" s="16" t="s">
        <v>85</v>
      </c>
      <c r="I150" s="16" t="s">
        <v>40</v>
      </c>
      <c r="J150" s="16" t="s">
        <v>130</v>
      </c>
      <c r="K150" s="16" t="s">
        <v>131</v>
      </c>
      <c r="L150" s="15">
        <v>-4230.6400000146059</v>
      </c>
      <c r="M150" s="15">
        <v>-4230.6400000146059</v>
      </c>
      <c r="N150" s="15">
        <v>0</v>
      </c>
      <c r="O150" s="15">
        <v>-4230.6400000146059</v>
      </c>
      <c r="P150" s="15">
        <v>-4230.6400000146059</v>
      </c>
      <c r="Q150" s="15">
        <f t="shared" si="5"/>
        <v>-4230.6400000146059</v>
      </c>
      <c r="R150" s="15">
        <v>0</v>
      </c>
      <c r="S150" s="15">
        <f t="shared" si="6"/>
        <v>-4230.6400000146059</v>
      </c>
      <c r="T150" s="16"/>
      <c r="U150" s="16"/>
    </row>
    <row r="151" spans="1:21" x14ac:dyDescent="0.25">
      <c r="A151" s="16" t="s">
        <v>37</v>
      </c>
      <c r="B151" s="16" t="s">
        <v>257</v>
      </c>
      <c r="C151" s="16" t="s">
        <v>258</v>
      </c>
      <c r="D151" s="16" t="s">
        <v>100</v>
      </c>
      <c r="E151" s="16" t="s">
        <v>101</v>
      </c>
      <c r="F151" s="16" t="s">
        <v>144</v>
      </c>
      <c r="G151" s="16" t="s">
        <v>145</v>
      </c>
      <c r="H151" s="16" t="s">
        <v>85</v>
      </c>
      <c r="I151" s="16" t="s">
        <v>40</v>
      </c>
      <c r="J151" s="16" t="s">
        <v>296</v>
      </c>
      <c r="K151" s="16" t="s">
        <v>297</v>
      </c>
      <c r="L151" s="15">
        <v>-7644.8649896330026</v>
      </c>
      <c r="M151" s="15">
        <v>0</v>
      </c>
      <c r="N151" s="15">
        <v>-7644.4730439999994</v>
      </c>
      <c r="O151" s="15">
        <v>-0.39194563300316076</v>
      </c>
      <c r="P151" s="15">
        <v>-0.39194563300316076</v>
      </c>
      <c r="Q151" s="15">
        <f t="shared" si="5"/>
        <v>-0.39194563300316076</v>
      </c>
      <c r="R151" s="15">
        <v>0</v>
      </c>
      <c r="S151" s="15">
        <f t="shared" si="6"/>
        <v>-0.39194563300316076</v>
      </c>
      <c r="T151" s="16"/>
      <c r="U151" s="26"/>
    </row>
    <row r="152" spans="1:21" x14ac:dyDescent="0.25">
      <c r="A152" s="16" t="s">
        <v>37</v>
      </c>
      <c r="B152" s="16" t="s">
        <v>269</v>
      </c>
      <c r="C152" s="16" t="s">
        <v>270</v>
      </c>
      <c r="D152" s="16" t="s">
        <v>100</v>
      </c>
      <c r="E152" s="16" t="s">
        <v>101</v>
      </c>
      <c r="F152" s="16" t="s">
        <v>144</v>
      </c>
      <c r="G152" s="16" t="s">
        <v>145</v>
      </c>
      <c r="H152" s="16" t="s">
        <v>85</v>
      </c>
      <c r="I152" s="16" t="s">
        <v>40</v>
      </c>
      <c r="J152" s="16" t="s">
        <v>124</v>
      </c>
      <c r="K152" s="16" t="s">
        <v>125</v>
      </c>
      <c r="L152" s="15">
        <v>-431.96273174689691</v>
      </c>
      <c r="M152" s="15">
        <v>0</v>
      </c>
      <c r="N152" s="15">
        <v>-305.80999999999977</v>
      </c>
      <c r="O152" s="15">
        <v>-126.15273174689719</v>
      </c>
      <c r="P152" s="15">
        <v>0</v>
      </c>
      <c r="Q152" s="15">
        <f t="shared" si="5"/>
        <v>0</v>
      </c>
      <c r="R152" s="15">
        <v>0</v>
      </c>
      <c r="S152" s="15">
        <f t="shared" si="6"/>
        <v>0</v>
      </c>
      <c r="T152" s="16"/>
      <c r="U152" s="16"/>
    </row>
    <row r="153" spans="1:21" x14ac:dyDescent="0.25">
      <c r="A153" s="16" t="s">
        <v>37</v>
      </c>
      <c r="B153" s="16" t="s">
        <v>265</v>
      </c>
      <c r="C153" s="16" t="s">
        <v>266</v>
      </c>
      <c r="D153" s="16" t="s">
        <v>100</v>
      </c>
      <c r="E153" s="16" t="s">
        <v>101</v>
      </c>
      <c r="F153" s="16" t="s">
        <v>144</v>
      </c>
      <c r="G153" s="16" t="s">
        <v>145</v>
      </c>
      <c r="H153" s="16" t="s">
        <v>85</v>
      </c>
      <c r="I153" s="16" t="s">
        <v>40</v>
      </c>
      <c r="J153" s="16" t="s">
        <v>124</v>
      </c>
      <c r="K153" s="16" t="s">
        <v>125</v>
      </c>
      <c r="L153" s="15">
        <v>-71981.315083330468</v>
      </c>
      <c r="M153" s="15">
        <v>0</v>
      </c>
      <c r="N153" s="15">
        <v>-56762.0627143245</v>
      </c>
      <c r="O153" s="15">
        <v>-15219.252369005982</v>
      </c>
      <c r="P153" s="15">
        <v>0</v>
      </c>
      <c r="Q153" s="15">
        <f t="shared" si="5"/>
        <v>0</v>
      </c>
      <c r="R153" s="15">
        <v>0</v>
      </c>
      <c r="S153" s="15">
        <f t="shared" si="6"/>
        <v>0</v>
      </c>
      <c r="T153" s="16"/>
      <c r="U153" s="16"/>
    </row>
    <row r="154" spans="1:21" x14ac:dyDescent="0.25">
      <c r="A154" s="16" t="s">
        <v>37</v>
      </c>
      <c r="B154" s="16" t="s">
        <v>257</v>
      </c>
      <c r="C154" s="16" t="s">
        <v>258</v>
      </c>
      <c r="D154" s="16" t="s">
        <v>100</v>
      </c>
      <c r="E154" s="16" t="s">
        <v>101</v>
      </c>
      <c r="F154" s="16" t="s">
        <v>144</v>
      </c>
      <c r="G154" s="16" t="s">
        <v>145</v>
      </c>
      <c r="H154" s="16" t="s">
        <v>85</v>
      </c>
      <c r="I154" s="16" t="s">
        <v>40</v>
      </c>
      <c r="J154" s="16" t="s">
        <v>124</v>
      </c>
      <c r="K154" s="16" t="s">
        <v>125</v>
      </c>
      <c r="L154" s="15">
        <v>-56.995099999999987</v>
      </c>
      <c r="M154" s="15">
        <v>0</v>
      </c>
      <c r="N154" s="15">
        <v>-43.131703999999999</v>
      </c>
      <c r="O154" s="15">
        <v>-13.863395999999989</v>
      </c>
      <c r="P154" s="15">
        <v>0</v>
      </c>
      <c r="Q154" s="15">
        <f t="shared" si="5"/>
        <v>0</v>
      </c>
      <c r="R154" s="15">
        <v>0</v>
      </c>
      <c r="S154" s="15">
        <f t="shared" si="6"/>
        <v>0</v>
      </c>
      <c r="T154" s="16"/>
      <c r="U154" s="26"/>
    </row>
    <row r="155" spans="1:21" x14ac:dyDescent="0.25">
      <c r="A155" s="16" t="s">
        <v>37</v>
      </c>
      <c r="B155" s="16" t="s">
        <v>257</v>
      </c>
      <c r="C155" s="16" t="s">
        <v>258</v>
      </c>
      <c r="D155" s="16" t="s">
        <v>100</v>
      </c>
      <c r="E155" s="16" t="s">
        <v>101</v>
      </c>
      <c r="F155" s="16" t="s">
        <v>144</v>
      </c>
      <c r="G155" s="16" t="s">
        <v>145</v>
      </c>
      <c r="H155" s="16" t="s">
        <v>85</v>
      </c>
      <c r="I155" s="16" t="s">
        <v>40</v>
      </c>
      <c r="J155" s="16" t="s">
        <v>298</v>
      </c>
      <c r="K155" s="16" t="s">
        <v>299</v>
      </c>
      <c r="L155" s="15">
        <v>-2010.0617620200005</v>
      </c>
      <c r="M155" s="15">
        <v>-82.341567000000012</v>
      </c>
      <c r="N155" s="15">
        <v>-1275.6103594853998</v>
      </c>
      <c r="O155" s="15">
        <v>-734.45140253460056</v>
      </c>
      <c r="P155" s="15">
        <v>-734.45140253460056</v>
      </c>
      <c r="Q155" s="15">
        <f t="shared" si="5"/>
        <v>-734.45140253460056</v>
      </c>
      <c r="R155" s="15">
        <v>0</v>
      </c>
      <c r="S155" s="15">
        <f t="shared" si="6"/>
        <v>-734.45140253460056</v>
      </c>
      <c r="T155" s="16"/>
      <c r="U155" s="26"/>
    </row>
    <row r="156" spans="1:21" x14ac:dyDescent="0.25">
      <c r="A156" s="16" t="s">
        <v>37</v>
      </c>
      <c r="B156" s="16" t="s">
        <v>269</v>
      </c>
      <c r="C156" s="16" t="s">
        <v>270</v>
      </c>
      <c r="D156" s="16" t="s">
        <v>100</v>
      </c>
      <c r="E156" s="16" t="s">
        <v>101</v>
      </c>
      <c r="F156" s="16" t="s">
        <v>144</v>
      </c>
      <c r="G156" s="16" t="s">
        <v>145</v>
      </c>
      <c r="H156" s="16" t="s">
        <v>85</v>
      </c>
      <c r="I156" s="16" t="s">
        <v>40</v>
      </c>
      <c r="J156" s="16" t="s">
        <v>132</v>
      </c>
      <c r="K156" s="16" t="s">
        <v>133</v>
      </c>
      <c r="L156" s="15">
        <v>-10469.410240962792</v>
      </c>
      <c r="M156" s="15">
        <v>-10469.410240962792</v>
      </c>
      <c r="N156" s="15">
        <v>-10469.409998090654</v>
      </c>
      <c r="O156" s="15">
        <v>-2.4287214142759694E-4</v>
      </c>
      <c r="P156" s="15">
        <v>0</v>
      </c>
      <c r="Q156" s="15">
        <f t="shared" si="5"/>
        <v>0</v>
      </c>
      <c r="R156" s="15">
        <v>0</v>
      </c>
      <c r="S156" s="15">
        <f t="shared" si="6"/>
        <v>0</v>
      </c>
      <c r="T156" s="16"/>
      <c r="U156" s="16"/>
    </row>
    <row r="157" spans="1:21" x14ac:dyDescent="0.25">
      <c r="A157" s="16" t="s">
        <v>37</v>
      </c>
      <c r="B157" s="16" t="s">
        <v>257</v>
      </c>
      <c r="C157" s="16" t="s">
        <v>258</v>
      </c>
      <c r="D157" s="16" t="s">
        <v>100</v>
      </c>
      <c r="E157" s="16" t="s">
        <v>101</v>
      </c>
      <c r="F157" s="16" t="s">
        <v>144</v>
      </c>
      <c r="G157" s="16" t="s">
        <v>145</v>
      </c>
      <c r="H157" s="16" t="s">
        <v>85</v>
      </c>
      <c r="I157" s="16" t="s">
        <v>40</v>
      </c>
      <c r="J157" s="16" t="s">
        <v>132</v>
      </c>
      <c r="K157" s="16" t="s">
        <v>133</v>
      </c>
      <c r="L157" s="15">
        <v>-250002.03</v>
      </c>
      <c r="M157" s="15">
        <v>-250002.03</v>
      </c>
      <c r="N157" s="15">
        <v>-250000</v>
      </c>
      <c r="O157" s="15">
        <v>-2.0299999999988358</v>
      </c>
      <c r="P157" s="15">
        <v>0</v>
      </c>
      <c r="Q157" s="15">
        <f t="shared" si="5"/>
        <v>0</v>
      </c>
      <c r="R157" s="15">
        <v>0</v>
      </c>
      <c r="S157" s="15">
        <f t="shared" si="6"/>
        <v>0</v>
      </c>
      <c r="T157" s="16"/>
      <c r="U157" s="26"/>
    </row>
    <row r="158" spans="1:21" x14ac:dyDescent="0.25">
      <c r="A158" s="16" t="s">
        <v>37</v>
      </c>
      <c r="B158" s="16" t="s">
        <v>269</v>
      </c>
      <c r="C158" s="16" t="s">
        <v>270</v>
      </c>
      <c r="D158" s="16" t="s">
        <v>100</v>
      </c>
      <c r="E158" s="16" t="s">
        <v>101</v>
      </c>
      <c r="F158" s="16" t="s">
        <v>144</v>
      </c>
      <c r="G158" s="16" t="s">
        <v>145</v>
      </c>
      <c r="H158" s="16" t="s">
        <v>85</v>
      </c>
      <c r="I158" s="16" t="s">
        <v>40</v>
      </c>
      <c r="J158" s="16" t="s">
        <v>64</v>
      </c>
      <c r="K158" s="16" t="s">
        <v>65</v>
      </c>
      <c r="L158" s="15">
        <v>-29718.161269990629</v>
      </c>
      <c r="M158" s="15">
        <v>0</v>
      </c>
      <c r="N158" s="15">
        <v>-24718.159960831636</v>
      </c>
      <c r="O158" s="15">
        <v>-5000.0013091589972</v>
      </c>
      <c r="P158" s="15">
        <v>-5000.0013091589972</v>
      </c>
      <c r="Q158" s="15">
        <f t="shared" si="5"/>
        <v>-5000.0013091589972</v>
      </c>
      <c r="R158" s="15">
        <v>0</v>
      </c>
      <c r="S158" s="15">
        <f t="shared" si="6"/>
        <v>-5000.0013091589972</v>
      </c>
      <c r="T158" s="16"/>
      <c r="U158" s="16"/>
    </row>
    <row r="159" spans="1:21" x14ac:dyDescent="0.25">
      <c r="A159" s="16" t="s">
        <v>37</v>
      </c>
      <c r="B159" s="16" t="s">
        <v>269</v>
      </c>
      <c r="C159" s="16" t="s">
        <v>270</v>
      </c>
      <c r="D159" s="16" t="s">
        <v>100</v>
      </c>
      <c r="E159" s="16" t="s">
        <v>101</v>
      </c>
      <c r="F159" s="16" t="s">
        <v>144</v>
      </c>
      <c r="G159" s="16" t="s">
        <v>145</v>
      </c>
      <c r="H159" s="16" t="s">
        <v>85</v>
      </c>
      <c r="I159" s="16" t="s">
        <v>40</v>
      </c>
      <c r="J159" s="16" t="s">
        <v>66</v>
      </c>
      <c r="K159" s="16" t="s">
        <v>63</v>
      </c>
      <c r="L159" s="15">
        <v>-11716.70371377897</v>
      </c>
      <c r="M159" s="15">
        <v>-11716.70371377897</v>
      </c>
      <c r="N159" s="15">
        <v>-11716.719990065279</v>
      </c>
      <c r="O159" s="15">
        <v>1.6276286308993804E-2</v>
      </c>
      <c r="P159" s="15">
        <v>0</v>
      </c>
      <c r="Q159" s="15">
        <f t="shared" si="5"/>
        <v>0</v>
      </c>
      <c r="R159" s="15">
        <v>0</v>
      </c>
      <c r="S159" s="15">
        <f t="shared" si="6"/>
        <v>0</v>
      </c>
      <c r="T159" s="16"/>
      <c r="U159" s="16"/>
    </row>
    <row r="160" spans="1:21" x14ac:dyDescent="0.25">
      <c r="A160" s="16" t="s">
        <v>37</v>
      </c>
      <c r="B160" s="16" t="s">
        <v>257</v>
      </c>
      <c r="C160" s="16" t="s">
        <v>258</v>
      </c>
      <c r="D160" s="16" t="s">
        <v>100</v>
      </c>
      <c r="E160" s="16" t="s">
        <v>101</v>
      </c>
      <c r="F160" s="16" t="s">
        <v>144</v>
      </c>
      <c r="G160" s="16" t="s">
        <v>145</v>
      </c>
      <c r="H160" s="16" t="s">
        <v>85</v>
      </c>
      <c r="I160" s="16" t="s">
        <v>40</v>
      </c>
      <c r="J160" s="16" t="s">
        <v>67</v>
      </c>
      <c r="K160" s="16" t="s">
        <v>68</v>
      </c>
      <c r="L160" s="15">
        <v>-1225</v>
      </c>
      <c r="M160" s="15">
        <v>0</v>
      </c>
      <c r="N160" s="15">
        <v>0</v>
      </c>
      <c r="O160" s="15">
        <v>-1225</v>
      </c>
      <c r="P160" s="15">
        <v>-1225</v>
      </c>
      <c r="Q160" s="15">
        <f t="shared" si="5"/>
        <v>-1225</v>
      </c>
      <c r="R160" s="15">
        <v>0</v>
      </c>
      <c r="S160" s="15">
        <f t="shared" si="6"/>
        <v>-1225</v>
      </c>
      <c r="T160" s="16"/>
      <c r="U160" s="26"/>
    </row>
    <row r="161" spans="1:21" x14ac:dyDescent="0.25">
      <c r="A161" s="16" t="s">
        <v>37</v>
      </c>
      <c r="B161" s="16" t="s">
        <v>269</v>
      </c>
      <c r="C161" s="16" t="s">
        <v>270</v>
      </c>
      <c r="D161" s="16" t="s">
        <v>100</v>
      </c>
      <c r="E161" s="16" t="s">
        <v>101</v>
      </c>
      <c r="F161" s="16" t="s">
        <v>144</v>
      </c>
      <c r="G161" s="16" t="s">
        <v>145</v>
      </c>
      <c r="H161" s="16" t="s">
        <v>85</v>
      </c>
      <c r="I161" s="16" t="s">
        <v>40</v>
      </c>
      <c r="J161" s="16" t="s">
        <v>69</v>
      </c>
      <c r="K161" s="16" t="s">
        <v>70</v>
      </c>
      <c r="L161" s="15">
        <v>-2544.540558386092</v>
      </c>
      <c r="M161" s="15">
        <v>-2544.540558386092</v>
      </c>
      <c r="N161" s="15">
        <v>-2544.5299954848142</v>
      </c>
      <c r="O161" s="15">
        <v>-1.0562901278035497E-2</v>
      </c>
      <c r="P161" s="15">
        <v>0</v>
      </c>
      <c r="Q161" s="15">
        <f t="shared" si="5"/>
        <v>0</v>
      </c>
      <c r="R161" s="15">
        <v>0</v>
      </c>
      <c r="S161" s="15">
        <f t="shared" si="6"/>
        <v>0</v>
      </c>
      <c r="T161" s="16"/>
      <c r="U161" s="15">
        <f t="shared" ref="U161:U162" si="8">O161</f>
        <v>-1.0562901278035497E-2</v>
      </c>
    </row>
    <row r="162" spans="1:21" x14ac:dyDescent="0.25">
      <c r="A162" s="16" t="s">
        <v>37</v>
      </c>
      <c r="B162" s="16" t="s">
        <v>257</v>
      </c>
      <c r="C162" s="16" t="s">
        <v>258</v>
      </c>
      <c r="D162" s="16" t="s">
        <v>100</v>
      </c>
      <c r="E162" s="16" t="s">
        <v>101</v>
      </c>
      <c r="F162" s="16" t="s">
        <v>144</v>
      </c>
      <c r="G162" s="16" t="s">
        <v>145</v>
      </c>
      <c r="H162" s="16" t="s">
        <v>85</v>
      </c>
      <c r="I162" s="16" t="s">
        <v>40</v>
      </c>
      <c r="J162" s="16" t="s">
        <v>69</v>
      </c>
      <c r="K162" s="16" t="s">
        <v>70</v>
      </c>
      <c r="L162" s="15">
        <v>-818.33078699999999</v>
      </c>
      <c r="M162" s="15">
        <v>-818.33078699999999</v>
      </c>
      <c r="N162" s="15">
        <v>-807.97404339000002</v>
      </c>
      <c r="O162" s="15">
        <v>-10.356743609999967</v>
      </c>
      <c r="P162" s="15">
        <v>0</v>
      </c>
      <c r="Q162" s="15">
        <f t="shared" si="5"/>
        <v>0</v>
      </c>
      <c r="R162" s="15">
        <v>0</v>
      </c>
      <c r="S162" s="15">
        <f t="shared" si="6"/>
        <v>0</v>
      </c>
      <c r="T162" s="16"/>
      <c r="U162" s="15">
        <f t="shared" si="8"/>
        <v>-10.356743609999967</v>
      </c>
    </row>
    <row r="163" spans="1:21" x14ac:dyDescent="0.25">
      <c r="A163" s="16" t="s">
        <v>37</v>
      </c>
      <c r="B163" s="16" t="s">
        <v>257</v>
      </c>
      <c r="C163" s="16" t="s">
        <v>258</v>
      </c>
      <c r="D163" s="16" t="s">
        <v>100</v>
      </c>
      <c r="E163" s="16" t="s">
        <v>101</v>
      </c>
      <c r="F163" s="16" t="s">
        <v>144</v>
      </c>
      <c r="G163" s="16" t="s">
        <v>145</v>
      </c>
      <c r="H163" s="16" t="s">
        <v>85</v>
      </c>
      <c r="I163" s="16" t="s">
        <v>40</v>
      </c>
      <c r="J163" s="16" t="s">
        <v>136</v>
      </c>
      <c r="K163" s="16" t="s">
        <v>137</v>
      </c>
      <c r="L163" s="15">
        <v>-17277.000000000011</v>
      </c>
      <c r="M163" s="15">
        <v>0</v>
      </c>
      <c r="N163" s="15">
        <v>-17277</v>
      </c>
      <c r="O163" s="15">
        <v>-1.0913936421275139E-11</v>
      </c>
      <c r="P163" s="15">
        <v>-1.0913936421275139E-11</v>
      </c>
      <c r="Q163" s="15">
        <f t="shared" si="5"/>
        <v>-1.0913936421275139E-11</v>
      </c>
      <c r="R163" s="15">
        <v>0</v>
      </c>
      <c r="S163" s="15">
        <f t="shared" si="6"/>
        <v>-1.0913936421275139E-11</v>
      </c>
      <c r="T163" s="16"/>
      <c r="U163" s="26"/>
    </row>
    <row r="164" spans="1:21" x14ac:dyDescent="0.25">
      <c r="A164" s="16" t="s">
        <v>37</v>
      </c>
      <c r="B164" s="16" t="s">
        <v>265</v>
      </c>
      <c r="C164" s="16" t="s">
        <v>266</v>
      </c>
      <c r="D164" s="16" t="s">
        <v>100</v>
      </c>
      <c r="E164" s="16" t="s">
        <v>101</v>
      </c>
      <c r="F164" s="16" t="s">
        <v>144</v>
      </c>
      <c r="G164" s="16" t="s">
        <v>145</v>
      </c>
      <c r="H164" s="16" t="s">
        <v>85</v>
      </c>
      <c r="I164" s="16" t="s">
        <v>40</v>
      </c>
      <c r="J164" s="16" t="s">
        <v>138</v>
      </c>
      <c r="K164" s="16" t="s">
        <v>139</v>
      </c>
      <c r="L164" s="15">
        <v>-743.93665991530111</v>
      </c>
      <c r="M164" s="15">
        <v>0</v>
      </c>
      <c r="N164" s="15">
        <v>-743.93665991530099</v>
      </c>
      <c r="O164" s="15">
        <v>-5.6843418860808015E-14</v>
      </c>
      <c r="P164" s="15">
        <v>0</v>
      </c>
      <c r="Q164" s="15">
        <f t="shared" si="5"/>
        <v>0</v>
      </c>
      <c r="R164" s="15">
        <v>0</v>
      </c>
      <c r="S164" s="15">
        <f t="shared" si="6"/>
        <v>0</v>
      </c>
      <c r="T164" s="16"/>
      <c r="U164" s="16"/>
    </row>
    <row r="165" spans="1:21" x14ac:dyDescent="0.25">
      <c r="A165" s="28" t="s">
        <v>37</v>
      </c>
      <c r="B165" s="28" t="s">
        <v>269</v>
      </c>
      <c r="C165" s="28" t="s">
        <v>270</v>
      </c>
      <c r="D165" s="28" t="s">
        <v>100</v>
      </c>
      <c r="E165" s="28" t="s">
        <v>101</v>
      </c>
      <c r="F165" s="28" t="s">
        <v>146</v>
      </c>
      <c r="G165" s="28" t="s">
        <v>147</v>
      </c>
      <c r="H165" s="28" t="s">
        <v>85</v>
      </c>
      <c r="I165" s="28" t="s">
        <v>40</v>
      </c>
      <c r="J165" s="28" t="s">
        <v>38</v>
      </c>
      <c r="K165" s="28" t="s">
        <v>293</v>
      </c>
      <c r="L165" s="29">
        <v>-49801.77144710657</v>
      </c>
      <c r="M165" s="29">
        <v>-637.28071196958888</v>
      </c>
      <c r="N165" s="29">
        <v>-69945.470516241563</v>
      </c>
      <c r="O165" s="29">
        <v>20143.699069134989</v>
      </c>
      <c r="P165" s="29">
        <f>O165</f>
        <v>20143.699069134989</v>
      </c>
      <c r="Q165" s="29">
        <f>P165-R165-20144</f>
        <v>-0.3009308650107414</v>
      </c>
      <c r="R165" s="15">
        <v>0</v>
      </c>
      <c r="S165" s="15">
        <f t="shared" si="6"/>
        <v>-0.3009308650107414</v>
      </c>
      <c r="T165" s="16"/>
      <c r="U165" s="16"/>
    </row>
    <row r="166" spans="1:21" x14ac:dyDescent="0.25">
      <c r="A166" s="16" t="s">
        <v>37</v>
      </c>
      <c r="B166" s="16" t="s">
        <v>265</v>
      </c>
      <c r="C166" s="16" t="s">
        <v>266</v>
      </c>
      <c r="D166" s="16" t="s">
        <v>100</v>
      </c>
      <c r="E166" s="16" t="s">
        <v>101</v>
      </c>
      <c r="F166" s="16" t="s">
        <v>146</v>
      </c>
      <c r="G166" s="16" t="s">
        <v>147</v>
      </c>
      <c r="H166" s="16" t="s">
        <v>85</v>
      </c>
      <c r="I166" s="16" t="s">
        <v>40</v>
      </c>
      <c r="J166" s="16" t="s">
        <v>38</v>
      </c>
      <c r="K166" s="16" t="s">
        <v>293</v>
      </c>
      <c r="L166" s="15">
        <v>-267269.82501438679</v>
      </c>
      <c r="M166" s="15">
        <v>-8.8300001829691031</v>
      </c>
      <c r="N166" s="15">
        <v>-252339.51465249859</v>
      </c>
      <c r="O166" s="15">
        <v>-14930.310361888147</v>
      </c>
      <c r="P166" s="15">
        <v>-14930.310361888147</v>
      </c>
      <c r="Q166" s="15">
        <f t="shared" si="5"/>
        <v>-14930.310361888147</v>
      </c>
      <c r="R166" s="15">
        <v>0</v>
      </c>
      <c r="S166" s="15">
        <f t="shared" si="6"/>
        <v>-14930.310361888147</v>
      </c>
      <c r="T166" s="16"/>
      <c r="U166" s="16"/>
    </row>
    <row r="167" spans="1:21" x14ac:dyDescent="0.25">
      <c r="A167" s="16" t="s">
        <v>37</v>
      </c>
      <c r="B167" s="16" t="s">
        <v>261</v>
      </c>
      <c r="C167" s="16" t="s">
        <v>262</v>
      </c>
      <c r="D167" s="16" t="s">
        <v>100</v>
      </c>
      <c r="E167" s="16" t="s">
        <v>101</v>
      </c>
      <c r="F167" s="16" t="s">
        <v>146</v>
      </c>
      <c r="G167" s="16" t="s">
        <v>147</v>
      </c>
      <c r="H167" s="16" t="s">
        <v>85</v>
      </c>
      <c r="I167" s="16" t="s">
        <v>40</v>
      </c>
      <c r="J167" s="16" t="s">
        <v>38</v>
      </c>
      <c r="K167" s="16" t="s">
        <v>293</v>
      </c>
      <c r="L167" s="15">
        <v>-92117.281957858228</v>
      </c>
      <c r="M167" s="15">
        <v>-16.21</v>
      </c>
      <c r="N167" s="15">
        <v>-87730.188102519052</v>
      </c>
      <c r="O167" s="15">
        <v>-4387.0938553391716</v>
      </c>
      <c r="P167" s="15">
        <v>-4387.0938553391716</v>
      </c>
      <c r="Q167" s="15">
        <f t="shared" si="5"/>
        <v>-4387.0938553391716</v>
      </c>
      <c r="R167" s="15">
        <v>0</v>
      </c>
      <c r="S167" s="15">
        <f t="shared" si="6"/>
        <v>-4387.0938553391716</v>
      </c>
      <c r="T167" s="16"/>
      <c r="U167" s="16"/>
    </row>
    <row r="168" spans="1:21" x14ac:dyDescent="0.25">
      <c r="A168" s="16" t="s">
        <v>37</v>
      </c>
      <c r="B168" s="16" t="s">
        <v>257</v>
      </c>
      <c r="C168" s="16" t="s">
        <v>258</v>
      </c>
      <c r="D168" s="16" t="s">
        <v>100</v>
      </c>
      <c r="E168" s="16" t="s">
        <v>101</v>
      </c>
      <c r="F168" s="16" t="s">
        <v>146</v>
      </c>
      <c r="G168" s="16" t="s">
        <v>147</v>
      </c>
      <c r="H168" s="16" t="s">
        <v>85</v>
      </c>
      <c r="I168" s="16" t="s">
        <v>40</v>
      </c>
      <c r="J168" s="16" t="s">
        <v>38</v>
      </c>
      <c r="K168" s="16" t="s">
        <v>293</v>
      </c>
      <c r="L168" s="15">
        <v>-1162319.6230223663</v>
      </c>
      <c r="M168" s="15">
        <v>-930113.87222583685</v>
      </c>
      <c r="N168" s="15">
        <v>-1145149.5481070583</v>
      </c>
      <c r="O168" s="15">
        <v>-17170.074915307923</v>
      </c>
      <c r="P168" s="15">
        <v>-17170.074915307923</v>
      </c>
      <c r="Q168" s="15">
        <f>P168-R168+P165</f>
        <v>2973.624153827066</v>
      </c>
      <c r="R168" s="15">
        <v>0</v>
      </c>
      <c r="S168" s="15">
        <f t="shared" si="6"/>
        <v>2973.624153827066</v>
      </c>
      <c r="T168" s="16"/>
      <c r="U168" s="26"/>
    </row>
    <row r="169" spans="1:21" x14ac:dyDescent="0.25">
      <c r="A169" s="16" t="s">
        <v>37</v>
      </c>
      <c r="B169" s="16" t="s">
        <v>257</v>
      </c>
      <c r="C169" s="16" t="s">
        <v>258</v>
      </c>
      <c r="D169" s="16" t="s">
        <v>100</v>
      </c>
      <c r="E169" s="16" t="s">
        <v>101</v>
      </c>
      <c r="F169" s="16" t="s">
        <v>146</v>
      </c>
      <c r="G169" s="16" t="s">
        <v>147</v>
      </c>
      <c r="H169" s="16" t="s">
        <v>85</v>
      </c>
      <c r="I169" s="16" t="s">
        <v>40</v>
      </c>
      <c r="J169" s="16" t="s">
        <v>300</v>
      </c>
      <c r="K169" s="16" t="s">
        <v>301</v>
      </c>
      <c r="L169" s="15">
        <v>-3220.3389830508472</v>
      </c>
      <c r="M169" s="15">
        <v>0</v>
      </c>
      <c r="N169" s="15">
        <v>0</v>
      </c>
      <c r="O169" s="15">
        <v>-3220.3389830508472</v>
      </c>
      <c r="P169" s="15">
        <v>-3220.3389830508472</v>
      </c>
      <c r="Q169" s="15">
        <v>0</v>
      </c>
      <c r="R169" s="15">
        <v>0</v>
      </c>
      <c r="S169" s="15">
        <f t="shared" si="6"/>
        <v>0</v>
      </c>
      <c r="T169" s="16"/>
      <c r="U169" s="26"/>
    </row>
    <row r="170" spans="1:21" x14ac:dyDescent="0.25">
      <c r="A170" s="16" t="s">
        <v>37</v>
      </c>
      <c r="B170" s="16" t="s">
        <v>257</v>
      </c>
      <c r="C170" s="16" t="s">
        <v>258</v>
      </c>
      <c r="D170" s="16" t="s">
        <v>100</v>
      </c>
      <c r="E170" s="16" t="s">
        <v>101</v>
      </c>
      <c r="F170" s="16" t="s">
        <v>146</v>
      </c>
      <c r="G170" s="16" t="s">
        <v>147</v>
      </c>
      <c r="H170" s="16" t="s">
        <v>85</v>
      </c>
      <c r="I170" s="16" t="s">
        <v>40</v>
      </c>
      <c r="J170" s="16" t="s">
        <v>285</v>
      </c>
      <c r="K170" s="16" t="s">
        <v>286</v>
      </c>
      <c r="L170" s="15">
        <v>-352108.23981900001</v>
      </c>
      <c r="M170" s="15">
        <v>-275574.39895599999</v>
      </c>
      <c r="N170" s="15">
        <v>-134197.99339400002</v>
      </c>
      <c r="O170" s="15">
        <v>-217910.24642500002</v>
      </c>
      <c r="P170" s="15">
        <f>O170</f>
        <v>-217910.24642500002</v>
      </c>
      <c r="Q170" s="15">
        <f t="shared" si="5"/>
        <v>60979.929408999975</v>
      </c>
      <c r="R170" s="15">
        <v>-278890.17583399999</v>
      </c>
      <c r="S170" s="15">
        <f t="shared" si="6"/>
        <v>-217910.24642500002</v>
      </c>
      <c r="T170" s="16"/>
      <c r="U170" s="26"/>
    </row>
    <row r="171" spans="1:21" x14ac:dyDescent="0.25">
      <c r="A171" s="16" t="s">
        <v>37</v>
      </c>
      <c r="B171" s="16" t="s">
        <v>257</v>
      </c>
      <c r="C171" s="16" t="s">
        <v>258</v>
      </c>
      <c r="D171" s="16" t="s">
        <v>100</v>
      </c>
      <c r="E171" s="16" t="s">
        <v>101</v>
      </c>
      <c r="F171" s="16" t="s">
        <v>146</v>
      </c>
      <c r="G171" s="16" t="s">
        <v>147</v>
      </c>
      <c r="H171" s="16" t="s">
        <v>85</v>
      </c>
      <c r="I171" s="16" t="s">
        <v>40</v>
      </c>
      <c r="J171" s="16" t="s">
        <v>142</v>
      </c>
      <c r="K171" s="16" t="s">
        <v>143</v>
      </c>
      <c r="L171" s="15">
        <v>-4258.0300000000007</v>
      </c>
      <c r="M171" s="15">
        <v>0</v>
      </c>
      <c r="N171" s="15">
        <v>0</v>
      </c>
      <c r="O171" s="15">
        <v>-4258.0300000000007</v>
      </c>
      <c r="P171" s="15">
        <v>-4258.0300000000007</v>
      </c>
      <c r="Q171" s="15">
        <f t="shared" si="5"/>
        <v>-4258.0300000000007</v>
      </c>
      <c r="R171" s="15">
        <v>0</v>
      </c>
      <c r="S171" s="15">
        <f t="shared" si="6"/>
        <v>-4258.0300000000007</v>
      </c>
      <c r="T171" s="16"/>
      <c r="U171" s="26"/>
    </row>
    <row r="172" spans="1:21" x14ac:dyDescent="0.25">
      <c r="A172" s="16" t="s">
        <v>37</v>
      </c>
      <c r="B172" s="16" t="s">
        <v>269</v>
      </c>
      <c r="C172" s="16" t="s">
        <v>270</v>
      </c>
      <c r="D172" s="16" t="s">
        <v>100</v>
      </c>
      <c r="E172" s="16" t="s">
        <v>101</v>
      </c>
      <c r="F172" s="16" t="s">
        <v>146</v>
      </c>
      <c r="G172" s="16" t="s">
        <v>147</v>
      </c>
      <c r="H172" s="16" t="s">
        <v>85</v>
      </c>
      <c r="I172" s="16" t="s">
        <v>40</v>
      </c>
      <c r="J172" s="16" t="s">
        <v>130</v>
      </c>
      <c r="K172" s="16" t="s">
        <v>131</v>
      </c>
      <c r="L172" s="15">
        <v>-2230.9300000077028</v>
      </c>
      <c r="M172" s="15">
        <v>-2230.9300000077028</v>
      </c>
      <c r="N172" s="15">
        <v>0</v>
      </c>
      <c r="O172" s="15">
        <v>-2230.9300000077028</v>
      </c>
      <c r="P172" s="15">
        <v>-2230.9300000077028</v>
      </c>
      <c r="Q172" s="15">
        <f t="shared" si="5"/>
        <v>-2230.9300000077028</v>
      </c>
      <c r="R172" s="15">
        <v>0</v>
      </c>
      <c r="S172" s="15">
        <f t="shared" si="6"/>
        <v>-2230.9300000077028</v>
      </c>
      <c r="T172" s="16"/>
      <c r="U172" s="16"/>
    </row>
    <row r="173" spans="1:21" x14ac:dyDescent="0.25">
      <c r="A173" s="16" t="s">
        <v>37</v>
      </c>
      <c r="B173" s="16" t="s">
        <v>257</v>
      </c>
      <c r="C173" s="16" t="s">
        <v>258</v>
      </c>
      <c r="D173" s="16" t="s">
        <v>100</v>
      </c>
      <c r="E173" s="16" t="s">
        <v>101</v>
      </c>
      <c r="F173" s="16" t="s">
        <v>146</v>
      </c>
      <c r="G173" s="16" t="s">
        <v>147</v>
      </c>
      <c r="H173" s="16" t="s">
        <v>85</v>
      </c>
      <c r="I173" s="16" t="s">
        <v>40</v>
      </c>
      <c r="J173" s="16" t="s">
        <v>296</v>
      </c>
      <c r="K173" s="16" t="s">
        <v>297</v>
      </c>
      <c r="L173" s="15">
        <v>-6778.4949694265997</v>
      </c>
      <c r="M173" s="15">
        <v>-4065.6389214000001</v>
      </c>
      <c r="N173" s="15">
        <v>-6720.3059720000001</v>
      </c>
      <c r="O173" s="15">
        <v>-58.18899742659778</v>
      </c>
      <c r="P173" s="15">
        <v>-58.18899742659778</v>
      </c>
      <c r="Q173" s="15">
        <f t="shared" si="5"/>
        <v>-58.18899742659778</v>
      </c>
      <c r="R173" s="15">
        <v>0</v>
      </c>
      <c r="S173" s="15">
        <f t="shared" si="6"/>
        <v>-58.18899742659778</v>
      </c>
      <c r="T173" s="16"/>
      <c r="U173" s="26"/>
    </row>
    <row r="174" spans="1:21" x14ac:dyDescent="0.25">
      <c r="A174" s="16" t="s">
        <v>37</v>
      </c>
      <c r="B174" s="16" t="s">
        <v>265</v>
      </c>
      <c r="C174" s="16" t="s">
        <v>266</v>
      </c>
      <c r="D174" s="16" t="s">
        <v>100</v>
      </c>
      <c r="E174" s="16" t="s">
        <v>101</v>
      </c>
      <c r="F174" s="16" t="s">
        <v>146</v>
      </c>
      <c r="G174" s="16" t="s">
        <v>147</v>
      </c>
      <c r="H174" s="16" t="s">
        <v>85</v>
      </c>
      <c r="I174" s="16" t="s">
        <v>40</v>
      </c>
      <c r="J174" s="16" t="s">
        <v>124</v>
      </c>
      <c r="K174" s="16" t="s">
        <v>125</v>
      </c>
      <c r="L174" s="15">
        <v>-25708.388869084607</v>
      </c>
      <c r="M174" s="15">
        <v>0</v>
      </c>
      <c r="N174" s="15">
        <v>-20556.977441243391</v>
      </c>
      <c r="O174" s="15">
        <v>-5151.4114278412198</v>
      </c>
      <c r="P174" s="15">
        <v>0</v>
      </c>
      <c r="Q174" s="15">
        <f t="shared" si="5"/>
        <v>0</v>
      </c>
      <c r="R174" s="15">
        <v>0</v>
      </c>
      <c r="S174" s="15">
        <f t="shared" si="6"/>
        <v>0</v>
      </c>
      <c r="T174" s="16"/>
      <c r="U174" s="16"/>
    </row>
    <row r="175" spans="1:21" x14ac:dyDescent="0.25">
      <c r="A175" s="16" t="s">
        <v>37</v>
      </c>
      <c r="B175" s="16" t="s">
        <v>269</v>
      </c>
      <c r="C175" s="16" t="s">
        <v>270</v>
      </c>
      <c r="D175" s="16" t="s">
        <v>100</v>
      </c>
      <c r="E175" s="16" t="s">
        <v>101</v>
      </c>
      <c r="F175" s="16" t="s">
        <v>146</v>
      </c>
      <c r="G175" s="16" t="s">
        <v>147</v>
      </c>
      <c r="H175" s="16" t="s">
        <v>85</v>
      </c>
      <c r="I175" s="16" t="s">
        <v>40</v>
      </c>
      <c r="J175" s="16" t="s">
        <v>124</v>
      </c>
      <c r="K175" s="16" t="s">
        <v>125</v>
      </c>
      <c r="L175" s="15">
        <v>-241.80808927894361</v>
      </c>
      <c r="M175" s="15">
        <v>0</v>
      </c>
      <c r="N175" s="15">
        <v>-179.08999999999986</v>
      </c>
      <c r="O175" s="15">
        <v>-62.718089278943737</v>
      </c>
      <c r="P175" s="15">
        <v>0</v>
      </c>
      <c r="Q175" s="15">
        <f t="shared" si="5"/>
        <v>0</v>
      </c>
      <c r="R175" s="15">
        <v>0</v>
      </c>
      <c r="S175" s="15">
        <f t="shared" si="6"/>
        <v>0</v>
      </c>
      <c r="T175" s="16"/>
      <c r="U175" s="16"/>
    </row>
    <row r="176" spans="1:21" x14ac:dyDescent="0.25">
      <c r="A176" s="16" t="s">
        <v>37</v>
      </c>
      <c r="B176" s="16" t="s">
        <v>261</v>
      </c>
      <c r="C176" s="16" t="s">
        <v>262</v>
      </c>
      <c r="D176" s="16" t="s">
        <v>100</v>
      </c>
      <c r="E176" s="16" t="s">
        <v>101</v>
      </c>
      <c r="F176" s="16" t="s">
        <v>146</v>
      </c>
      <c r="G176" s="16" t="s">
        <v>147</v>
      </c>
      <c r="H176" s="16" t="s">
        <v>85</v>
      </c>
      <c r="I176" s="16" t="s">
        <v>40</v>
      </c>
      <c r="J176" s="16" t="s">
        <v>124</v>
      </c>
      <c r="K176" s="16" t="s">
        <v>125</v>
      </c>
      <c r="L176" s="15">
        <v>-5783.9631529900016</v>
      </c>
      <c r="M176" s="15">
        <v>0</v>
      </c>
      <c r="N176" s="15">
        <v>-5778.7035166568003</v>
      </c>
      <c r="O176" s="15">
        <v>-5.2596363332010583</v>
      </c>
      <c r="P176" s="15">
        <v>0</v>
      </c>
      <c r="Q176" s="15">
        <f t="shared" si="5"/>
        <v>0</v>
      </c>
      <c r="R176" s="15">
        <v>0</v>
      </c>
      <c r="S176" s="15">
        <f t="shared" si="6"/>
        <v>0</v>
      </c>
      <c r="T176" s="16"/>
      <c r="U176" s="16"/>
    </row>
    <row r="177" spans="1:21" x14ac:dyDescent="0.25">
      <c r="A177" s="16" t="s">
        <v>37</v>
      </c>
      <c r="B177" s="16" t="s">
        <v>257</v>
      </c>
      <c r="C177" s="16" t="s">
        <v>258</v>
      </c>
      <c r="D177" s="16" t="s">
        <v>100</v>
      </c>
      <c r="E177" s="16" t="s">
        <v>101</v>
      </c>
      <c r="F177" s="16" t="s">
        <v>146</v>
      </c>
      <c r="G177" s="16" t="s">
        <v>147</v>
      </c>
      <c r="H177" s="16" t="s">
        <v>85</v>
      </c>
      <c r="I177" s="16" t="s">
        <v>40</v>
      </c>
      <c r="J177" s="16" t="s">
        <v>124</v>
      </c>
      <c r="K177" s="16" t="s">
        <v>125</v>
      </c>
      <c r="L177" s="15">
        <v>-49.851300000000002</v>
      </c>
      <c r="M177" s="15">
        <v>0</v>
      </c>
      <c r="N177" s="15">
        <v>-37.775855999999997</v>
      </c>
      <c r="O177" s="15">
        <v>-12.075444000000005</v>
      </c>
      <c r="P177" s="15">
        <v>0</v>
      </c>
      <c r="Q177" s="15">
        <f t="shared" si="5"/>
        <v>0</v>
      </c>
      <c r="R177" s="15">
        <v>0</v>
      </c>
      <c r="S177" s="15">
        <f t="shared" si="6"/>
        <v>0</v>
      </c>
      <c r="T177" s="16"/>
      <c r="U177" s="26"/>
    </row>
    <row r="178" spans="1:21" x14ac:dyDescent="0.25">
      <c r="A178" s="16" t="s">
        <v>37</v>
      </c>
      <c r="B178" s="16" t="s">
        <v>257</v>
      </c>
      <c r="C178" s="16" t="s">
        <v>258</v>
      </c>
      <c r="D178" s="16" t="s">
        <v>100</v>
      </c>
      <c r="E178" s="16" t="s">
        <v>101</v>
      </c>
      <c r="F178" s="16" t="s">
        <v>146</v>
      </c>
      <c r="G178" s="16" t="s">
        <v>147</v>
      </c>
      <c r="H178" s="16" t="s">
        <v>85</v>
      </c>
      <c r="I178" s="16" t="s">
        <v>40</v>
      </c>
      <c r="J178" s="16" t="s">
        <v>298</v>
      </c>
      <c r="K178" s="16" t="s">
        <v>299</v>
      </c>
      <c r="L178" s="15">
        <v>-21892.149442080001</v>
      </c>
      <c r="M178" s="15">
        <v>-196.76426400000011</v>
      </c>
      <c r="N178" s="15">
        <v>-20126.547093721201</v>
      </c>
      <c r="O178" s="15">
        <v>-1765.6023483587987</v>
      </c>
      <c r="P178" s="15">
        <v>-1765.6023483587987</v>
      </c>
      <c r="Q178" s="15">
        <f t="shared" si="5"/>
        <v>-1765.6023483587987</v>
      </c>
      <c r="R178" s="15">
        <v>0</v>
      </c>
      <c r="S178" s="15">
        <f t="shared" si="6"/>
        <v>-1765.6023483587987</v>
      </c>
      <c r="T178" s="16"/>
      <c r="U178" s="26"/>
    </row>
    <row r="179" spans="1:21" x14ac:dyDescent="0.25">
      <c r="A179" s="16" t="s">
        <v>37</v>
      </c>
      <c r="B179" s="16" t="s">
        <v>269</v>
      </c>
      <c r="C179" s="16" t="s">
        <v>270</v>
      </c>
      <c r="D179" s="16" t="s">
        <v>100</v>
      </c>
      <c r="E179" s="16" t="s">
        <v>101</v>
      </c>
      <c r="F179" s="16" t="s">
        <v>146</v>
      </c>
      <c r="G179" s="16" t="s">
        <v>147</v>
      </c>
      <c r="H179" s="16" t="s">
        <v>85</v>
      </c>
      <c r="I179" s="16" t="s">
        <v>40</v>
      </c>
      <c r="J179" s="16" t="s">
        <v>132</v>
      </c>
      <c r="K179" s="16" t="s">
        <v>133</v>
      </c>
      <c r="L179" s="15">
        <v>-6342.182040569498</v>
      </c>
      <c r="M179" s="15">
        <v>-6342.182040569498</v>
      </c>
      <c r="N179" s="15">
        <v>-6342.1799988433522</v>
      </c>
      <c r="O179" s="15">
        <v>-2.0417261459897418E-3</v>
      </c>
      <c r="P179" s="15">
        <v>0</v>
      </c>
      <c r="Q179" s="15">
        <f t="shared" si="5"/>
        <v>0</v>
      </c>
      <c r="R179" s="15">
        <v>0</v>
      </c>
      <c r="S179" s="15">
        <f t="shared" si="6"/>
        <v>0</v>
      </c>
      <c r="T179" s="16"/>
      <c r="U179" s="16"/>
    </row>
    <row r="180" spans="1:21" x14ac:dyDescent="0.25">
      <c r="A180" s="16" t="s">
        <v>37</v>
      </c>
      <c r="B180" s="16" t="s">
        <v>257</v>
      </c>
      <c r="C180" s="16" t="s">
        <v>258</v>
      </c>
      <c r="D180" s="16" t="s">
        <v>100</v>
      </c>
      <c r="E180" s="16" t="s">
        <v>101</v>
      </c>
      <c r="F180" s="16" t="s">
        <v>146</v>
      </c>
      <c r="G180" s="16" t="s">
        <v>147</v>
      </c>
      <c r="H180" s="16" t="s">
        <v>85</v>
      </c>
      <c r="I180" s="16" t="s">
        <v>40</v>
      </c>
      <c r="J180" s="16" t="s">
        <v>302</v>
      </c>
      <c r="K180" s="16" t="s">
        <v>303</v>
      </c>
      <c r="L180" s="15">
        <v>-6779.6610084745753</v>
      </c>
      <c r="M180" s="15">
        <v>0</v>
      </c>
      <c r="N180" s="15">
        <v>-6705.8293000000003</v>
      </c>
      <c r="O180" s="15">
        <v>-73.831708474575862</v>
      </c>
      <c r="P180" s="15">
        <v>-73.831708474575862</v>
      </c>
      <c r="Q180" s="15">
        <v>555</v>
      </c>
      <c r="R180" s="15">
        <v>-555.16999999999996</v>
      </c>
      <c r="S180" s="15">
        <f t="shared" si="6"/>
        <v>-0.16999999999995907</v>
      </c>
      <c r="T180" s="16"/>
      <c r="U180" s="26"/>
    </row>
    <row r="181" spans="1:21" x14ac:dyDescent="0.25">
      <c r="A181" s="16" t="s">
        <v>37</v>
      </c>
      <c r="B181" s="16" t="s">
        <v>269</v>
      </c>
      <c r="C181" s="16" t="s">
        <v>270</v>
      </c>
      <c r="D181" s="16" t="s">
        <v>100</v>
      </c>
      <c r="E181" s="16" t="s">
        <v>101</v>
      </c>
      <c r="F181" s="16" t="s">
        <v>146</v>
      </c>
      <c r="G181" s="16" t="s">
        <v>147</v>
      </c>
      <c r="H181" s="16" t="s">
        <v>85</v>
      </c>
      <c r="I181" s="16" t="s">
        <v>40</v>
      </c>
      <c r="J181" s="16" t="s">
        <v>64</v>
      </c>
      <c r="K181" s="16" t="s">
        <v>65</v>
      </c>
      <c r="L181" s="15">
        <v>-14581.47458308971</v>
      </c>
      <c r="M181" s="15">
        <v>0</v>
      </c>
      <c r="N181" s="15">
        <v>-12652.309979951164</v>
      </c>
      <c r="O181" s="15">
        <v>-1929.164603138548</v>
      </c>
      <c r="P181" s="15">
        <v>-1929.164603138548</v>
      </c>
      <c r="Q181" s="15">
        <f t="shared" si="5"/>
        <v>-1929.164603138548</v>
      </c>
      <c r="R181" s="15">
        <v>0</v>
      </c>
      <c r="S181" s="15">
        <f t="shared" si="6"/>
        <v>-1929.164603138548</v>
      </c>
      <c r="T181" s="16"/>
      <c r="U181" s="16"/>
    </row>
    <row r="182" spans="1:21" x14ac:dyDescent="0.25">
      <c r="A182" s="16" t="s">
        <v>37</v>
      </c>
      <c r="B182" s="16" t="s">
        <v>269</v>
      </c>
      <c r="C182" s="16" t="s">
        <v>270</v>
      </c>
      <c r="D182" s="16" t="s">
        <v>100</v>
      </c>
      <c r="E182" s="16" t="s">
        <v>101</v>
      </c>
      <c r="F182" s="16" t="s">
        <v>146</v>
      </c>
      <c r="G182" s="16" t="s">
        <v>147</v>
      </c>
      <c r="H182" s="16" t="s">
        <v>85</v>
      </c>
      <c r="I182" s="16" t="s">
        <v>40</v>
      </c>
      <c r="J182" s="16" t="s">
        <v>66</v>
      </c>
      <c r="K182" s="16" t="s">
        <v>63</v>
      </c>
      <c r="L182" s="15">
        <v>-9259.9187166651645</v>
      </c>
      <c r="M182" s="15">
        <v>-9259.9187166651645</v>
      </c>
      <c r="N182" s="15">
        <v>-9259.9199921484233</v>
      </c>
      <c r="O182" s="15">
        <v>1.2754832588655063E-3</v>
      </c>
      <c r="P182" s="15">
        <v>0</v>
      </c>
      <c r="Q182" s="15">
        <f t="shared" si="5"/>
        <v>0</v>
      </c>
      <c r="R182" s="15">
        <v>0</v>
      </c>
      <c r="S182" s="15">
        <f t="shared" si="6"/>
        <v>0</v>
      </c>
      <c r="T182" s="16"/>
      <c r="U182" s="16"/>
    </row>
    <row r="183" spans="1:21" x14ac:dyDescent="0.25">
      <c r="A183" s="16" t="s">
        <v>37</v>
      </c>
      <c r="B183" s="16" t="s">
        <v>257</v>
      </c>
      <c r="C183" s="16" t="s">
        <v>258</v>
      </c>
      <c r="D183" s="16" t="s">
        <v>100</v>
      </c>
      <c r="E183" s="16" t="s">
        <v>101</v>
      </c>
      <c r="F183" s="16" t="s">
        <v>146</v>
      </c>
      <c r="G183" s="16" t="s">
        <v>147</v>
      </c>
      <c r="H183" s="16" t="s">
        <v>85</v>
      </c>
      <c r="I183" s="16" t="s">
        <v>40</v>
      </c>
      <c r="J183" s="16" t="s">
        <v>67</v>
      </c>
      <c r="K183" s="16" t="s">
        <v>68</v>
      </c>
      <c r="L183" s="15">
        <v>-2725</v>
      </c>
      <c r="M183" s="15">
        <v>0</v>
      </c>
      <c r="N183" s="15">
        <v>0</v>
      </c>
      <c r="O183" s="15">
        <v>-2725</v>
      </c>
      <c r="P183" s="15">
        <v>-2725</v>
      </c>
      <c r="Q183" s="15">
        <f t="shared" si="5"/>
        <v>-2725</v>
      </c>
      <c r="R183" s="15">
        <v>0</v>
      </c>
      <c r="S183" s="15">
        <f t="shared" si="6"/>
        <v>-2725</v>
      </c>
      <c r="T183" s="16"/>
      <c r="U183" s="26"/>
    </row>
    <row r="184" spans="1:21" x14ac:dyDescent="0.25">
      <c r="A184" s="16" t="s">
        <v>37</v>
      </c>
      <c r="B184" s="16" t="s">
        <v>269</v>
      </c>
      <c r="C184" s="16" t="s">
        <v>270</v>
      </c>
      <c r="D184" s="16" t="s">
        <v>100</v>
      </c>
      <c r="E184" s="16" t="s">
        <v>101</v>
      </c>
      <c r="F184" s="16" t="s">
        <v>146</v>
      </c>
      <c r="G184" s="16" t="s">
        <v>147</v>
      </c>
      <c r="H184" s="16" t="s">
        <v>85</v>
      </c>
      <c r="I184" s="16" t="s">
        <v>40</v>
      </c>
      <c r="J184" s="16" t="s">
        <v>69</v>
      </c>
      <c r="K184" s="16" t="s">
        <v>70</v>
      </c>
      <c r="L184" s="15">
        <v>-211.60702319648058</v>
      </c>
      <c r="M184" s="15">
        <v>-211.60702319648058</v>
      </c>
      <c r="N184" s="15">
        <v>-211.60999962450492</v>
      </c>
      <c r="O184" s="15">
        <v>2.976428024325628E-3</v>
      </c>
      <c r="P184" s="15">
        <v>0</v>
      </c>
      <c r="Q184" s="15">
        <f t="shared" si="5"/>
        <v>0</v>
      </c>
      <c r="R184" s="15">
        <v>0</v>
      </c>
      <c r="S184" s="15">
        <f t="shared" si="6"/>
        <v>0</v>
      </c>
      <c r="T184" s="16"/>
      <c r="U184" s="15">
        <f t="shared" ref="U184:U186" si="9">O184</f>
        <v>2.976428024325628E-3</v>
      </c>
    </row>
    <row r="185" spans="1:21" x14ac:dyDescent="0.25">
      <c r="A185" s="16" t="s">
        <v>37</v>
      </c>
      <c r="B185" s="16" t="s">
        <v>261</v>
      </c>
      <c r="C185" s="16" t="s">
        <v>262</v>
      </c>
      <c r="D185" s="16" t="s">
        <v>100</v>
      </c>
      <c r="E185" s="16" t="s">
        <v>101</v>
      </c>
      <c r="F185" s="16" t="s">
        <v>146</v>
      </c>
      <c r="G185" s="16" t="s">
        <v>147</v>
      </c>
      <c r="H185" s="16" t="s">
        <v>85</v>
      </c>
      <c r="I185" s="16" t="s">
        <v>40</v>
      </c>
      <c r="J185" s="16" t="s">
        <v>69</v>
      </c>
      <c r="K185" s="16" t="s">
        <v>70</v>
      </c>
      <c r="L185" s="15">
        <v>-472.38999989899992</v>
      </c>
      <c r="M185" s="15">
        <v>-472.38999999999987</v>
      </c>
      <c r="N185" s="15">
        <v>-509.80390000000011</v>
      </c>
      <c r="O185" s="15">
        <v>37.413900101000209</v>
      </c>
      <c r="P185" s="15">
        <v>0</v>
      </c>
      <c r="Q185" s="15">
        <f t="shared" si="5"/>
        <v>0</v>
      </c>
      <c r="R185" s="15">
        <v>0</v>
      </c>
      <c r="S185" s="15">
        <f t="shared" si="6"/>
        <v>0</v>
      </c>
      <c r="T185" s="16"/>
      <c r="U185" s="15">
        <f t="shared" si="9"/>
        <v>37.413900101000209</v>
      </c>
    </row>
    <row r="186" spans="1:21" x14ac:dyDescent="0.25">
      <c r="A186" s="16" t="s">
        <v>37</v>
      </c>
      <c r="B186" s="16" t="s">
        <v>257</v>
      </c>
      <c r="C186" s="16" t="s">
        <v>258</v>
      </c>
      <c r="D186" s="16" t="s">
        <v>100</v>
      </c>
      <c r="E186" s="16" t="s">
        <v>101</v>
      </c>
      <c r="F186" s="16" t="s">
        <v>146</v>
      </c>
      <c r="G186" s="16" t="s">
        <v>147</v>
      </c>
      <c r="H186" s="16" t="s">
        <v>85</v>
      </c>
      <c r="I186" s="16" t="s">
        <v>40</v>
      </c>
      <c r="J186" s="16" t="s">
        <v>69</v>
      </c>
      <c r="K186" s="16" t="s">
        <v>70</v>
      </c>
      <c r="L186" s="15">
        <v>-1818.51286</v>
      </c>
      <c r="M186" s="15">
        <v>-1818.51286</v>
      </c>
      <c r="N186" s="15">
        <v>-1795.4978742000003</v>
      </c>
      <c r="O186" s="15">
        <v>-23.014985799999693</v>
      </c>
      <c r="P186" s="15">
        <v>0</v>
      </c>
      <c r="Q186" s="15">
        <f t="shared" si="5"/>
        <v>0</v>
      </c>
      <c r="R186" s="15">
        <v>0</v>
      </c>
      <c r="S186" s="15">
        <f t="shared" si="6"/>
        <v>0</v>
      </c>
      <c r="T186" s="16"/>
      <c r="U186" s="15">
        <f t="shared" si="9"/>
        <v>-23.014985799999693</v>
      </c>
    </row>
    <row r="187" spans="1:21" x14ac:dyDescent="0.25">
      <c r="A187" s="16" t="s">
        <v>37</v>
      </c>
      <c r="B187" s="16" t="s">
        <v>257</v>
      </c>
      <c r="C187" s="16" t="s">
        <v>258</v>
      </c>
      <c r="D187" s="16" t="s">
        <v>100</v>
      </c>
      <c r="E187" s="16" t="s">
        <v>101</v>
      </c>
      <c r="F187" s="16" t="s">
        <v>146</v>
      </c>
      <c r="G187" s="16" t="s">
        <v>147</v>
      </c>
      <c r="H187" s="16" t="s">
        <v>85</v>
      </c>
      <c r="I187" s="16" t="s">
        <v>40</v>
      </c>
      <c r="J187" s="16" t="s">
        <v>136</v>
      </c>
      <c r="K187" s="16" t="s">
        <v>137</v>
      </c>
      <c r="L187" s="15">
        <v>-15150.600000000011</v>
      </c>
      <c r="M187" s="15">
        <v>0</v>
      </c>
      <c r="N187" s="15">
        <v>-15150.6</v>
      </c>
      <c r="O187" s="15">
        <v>-1.0118128557223827E-11</v>
      </c>
      <c r="P187" s="15">
        <v>-1.0118128557223827E-11</v>
      </c>
      <c r="Q187" s="15">
        <f t="shared" si="5"/>
        <v>-1.0118128557223827E-11</v>
      </c>
      <c r="R187" s="15">
        <v>0</v>
      </c>
      <c r="S187" s="15">
        <f t="shared" si="6"/>
        <v>-1.0118128557223827E-11</v>
      </c>
      <c r="T187" s="16"/>
      <c r="U187" s="26"/>
    </row>
    <row r="188" spans="1:21" x14ac:dyDescent="0.25">
      <c r="A188" s="16" t="s">
        <v>37</v>
      </c>
      <c r="B188" s="16" t="s">
        <v>265</v>
      </c>
      <c r="C188" s="16" t="s">
        <v>266</v>
      </c>
      <c r="D188" s="16" t="s">
        <v>100</v>
      </c>
      <c r="E188" s="16" t="s">
        <v>101</v>
      </c>
      <c r="F188" s="16" t="s">
        <v>146</v>
      </c>
      <c r="G188" s="16" t="s">
        <v>147</v>
      </c>
      <c r="H188" s="16" t="s">
        <v>85</v>
      </c>
      <c r="I188" s="16" t="s">
        <v>40</v>
      </c>
      <c r="J188" s="16" t="s">
        <v>138</v>
      </c>
      <c r="K188" s="16" t="s">
        <v>139</v>
      </c>
      <c r="L188" s="15">
        <v>-283.7046584422759</v>
      </c>
      <c r="M188" s="15">
        <v>0</v>
      </c>
      <c r="N188" s="15">
        <v>-283.7046584422759</v>
      </c>
      <c r="O188" s="15">
        <v>1.4210854715202004E-14</v>
      </c>
      <c r="P188" s="15">
        <v>0</v>
      </c>
      <c r="Q188" s="15">
        <f t="shared" si="5"/>
        <v>0</v>
      </c>
      <c r="R188" s="15">
        <v>0</v>
      </c>
      <c r="S188" s="15">
        <f t="shared" si="6"/>
        <v>0</v>
      </c>
      <c r="T188" s="16"/>
      <c r="U188" s="16"/>
    </row>
    <row r="189" spans="1:21" x14ac:dyDescent="0.25">
      <c r="A189" s="28" t="s">
        <v>37</v>
      </c>
      <c r="B189" s="28" t="s">
        <v>269</v>
      </c>
      <c r="C189" s="28" t="s">
        <v>270</v>
      </c>
      <c r="D189" s="28" t="s">
        <v>100</v>
      </c>
      <c r="E189" s="28" t="s">
        <v>101</v>
      </c>
      <c r="F189" s="28" t="s">
        <v>148</v>
      </c>
      <c r="G189" s="28" t="s">
        <v>149</v>
      </c>
      <c r="H189" s="28" t="s">
        <v>85</v>
      </c>
      <c r="I189" s="28" t="s">
        <v>40</v>
      </c>
      <c r="J189" s="28" t="s">
        <v>38</v>
      </c>
      <c r="K189" s="28" t="s">
        <v>293</v>
      </c>
      <c r="L189" s="29">
        <v>-57766.507783655929</v>
      </c>
      <c r="M189" s="29">
        <v>-3495.7834137248519</v>
      </c>
      <c r="N189" s="29">
        <v>-68943.572162502009</v>
      </c>
      <c r="O189" s="29">
        <v>11177.064378846062</v>
      </c>
      <c r="P189" s="29">
        <f>O189</f>
        <v>11177.064378846062</v>
      </c>
      <c r="Q189" s="29">
        <f>P189-R189-11177</f>
        <v>6.4378846062027151E-2</v>
      </c>
      <c r="R189" s="15">
        <v>0</v>
      </c>
      <c r="S189" s="15">
        <f t="shared" si="6"/>
        <v>6.4378846062027151E-2</v>
      </c>
      <c r="T189" s="16"/>
      <c r="U189" s="16"/>
    </row>
    <row r="190" spans="1:21" x14ac:dyDescent="0.25">
      <c r="A190" s="16" t="s">
        <v>37</v>
      </c>
      <c r="B190" s="16" t="s">
        <v>265</v>
      </c>
      <c r="C190" s="16" t="s">
        <v>266</v>
      </c>
      <c r="D190" s="16" t="s">
        <v>100</v>
      </c>
      <c r="E190" s="16" t="s">
        <v>101</v>
      </c>
      <c r="F190" s="16" t="s">
        <v>148</v>
      </c>
      <c r="G190" s="16" t="s">
        <v>149</v>
      </c>
      <c r="H190" s="16" t="s">
        <v>85</v>
      </c>
      <c r="I190" s="16" t="s">
        <v>40</v>
      </c>
      <c r="J190" s="16" t="s">
        <v>38</v>
      </c>
      <c r="K190" s="16" t="s">
        <v>293</v>
      </c>
      <c r="L190" s="15">
        <v>-770614.03007347696</v>
      </c>
      <c r="M190" s="15">
        <v>-41710.510859115784</v>
      </c>
      <c r="N190" s="15">
        <v>-679744.10529919947</v>
      </c>
      <c r="O190" s="15">
        <v>-90869.924774277606</v>
      </c>
      <c r="P190" s="15">
        <v>-90869.924774277606</v>
      </c>
      <c r="Q190" s="15">
        <f t="shared" si="5"/>
        <v>-90869.924774277606</v>
      </c>
      <c r="R190" s="15">
        <v>0</v>
      </c>
      <c r="S190" s="15">
        <f t="shared" si="6"/>
        <v>-90869.924774277606</v>
      </c>
      <c r="T190" s="16"/>
      <c r="U190" s="16"/>
    </row>
    <row r="191" spans="1:21" x14ac:dyDescent="0.25">
      <c r="A191" s="16" t="s">
        <v>37</v>
      </c>
      <c r="B191" s="16" t="s">
        <v>257</v>
      </c>
      <c r="C191" s="16" t="s">
        <v>258</v>
      </c>
      <c r="D191" s="16" t="s">
        <v>100</v>
      </c>
      <c r="E191" s="16" t="s">
        <v>101</v>
      </c>
      <c r="F191" s="16" t="s">
        <v>148</v>
      </c>
      <c r="G191" s="16" t="s">
        <v>149</v>
      </c>
      <c r="H191" s="16" t="s">
        <v>85</v>
      </c>
      <c r="I191" s="16" t="s">
        <v>40</v>
      </c>
      <c r="J191" s="16" t="s">
        <v>38</v>
      </c>
      <c r="K191" s="16" t="s">
        <v>293</v>
      </c>
      <c r="L191" s="15">
        <v>-240185.23504173156</v>
      </c>
      <c r="M191" s="15">
        <v>-46789.206696675668</v>
      </c>
      <c r="N191" s="15">
        <v>-79018.020347550002</v>
      </c>
      <c r="O191" s="15">
        <v>-161167.21469418157</v>
      </c>
      <c r="P191" s="15">
        <v>-161167.21469418157</v>
      </c>
      <c r="Q191" s="15">
        <f>P191-R191+P189</f>
        <v>-149990.15031533552</v>
      </c>
      <c r="R191" s="15">
        <v>0</v>
      </c>
      <c r="S191" s="15">
        <f t="shared" si="6"/>
        <v>-149990.15031533552</v>
      </c>
      <c r="T191" s="16"/>
      <c r="U191" s="26"/>
    </row>
    <row r="192" spans="1:21" x14ac:dyDescent="0.25">
      <c r="A192" s="16" t="s">
        <v>37</v>
      </c>
      <c r="B192" s="16" t="s">
        <v>269</v>
      </c>
      <c r="C192" s="16" t="s">
        <v>270</v>
      </c>
      <c r="D192" s="16" t="s">
        <v>100</v>
      </c>
      <c r="E192" s="16" t="s">
        <v>101</v>
      </c>
      <c r="F192" s="16" t="s">
        <v>148</v>
      </c>
      <c r="G192" s="16" t="s">
        <v>149</v>
      </c>
      <c r="H192" s="16" t="s">
        <v>85</v>
      </c>
      <c r="I192" s="16" t="s">
        <v>40</v>
      </c>
      <c r="J192" s="16" t="s">
        <v>130</v>
      </c>
      <c r="K192" s="16" t="s">
        <v>131</v>
      </c>
      <c r="L192" s="15">
        <v>-2983.7500000103014</v>
      </c>
      <c r="M192" s="15">
        <v>-2983.7500000103014</v>
      </c>
      <c r="N192" s="15">
        <v>0</v>
      </c>
      <c r="O192" s="15">
        <v>-2983.7500000103014</v>
      </c>
      <c r="P192" s="15">
        <v>-2983.7500000103014</v>
      </c>
      <c r="Q192" s="15">
        <f t="shared" si="5"/>
        <v>-2983.7500000103014</v>
      </c>
      <c r="R192" s="15">
        <v>0</v>
      </c>
      <c r="S192" s="15">
        <f t="shared" si="6"/>
        <v>-2983.7500000103014</v>
      </c>
      <c r="T192" s="16"/>
      <c r="U192" s="16"/>
    </row>
    <row r="193" spans="1:21" x14ac:dyDescent="0.25">
      <c r="A193" s="16" t="s">
        <v>37</v>
      </c>
      <c r="B193" s="16" t="s">
        <v>257</v>
      </c>
      <c r="C193" s="16" t="s">
        <v>258</v>
      </c>
      <c r="D193" s="16" t="s">
        <v>100</v>
      </c>
      <c r="E193" s="16" t="s">
        <v>101</v>
      </c>
      <c r="F193" s="16" t="s">
        <v>148</v>
      </c>
      <c r="G193" s="16" t="s">
        <v>149</v>
      </c>
      <c r="H193" s="16" t="s">
        <v>85</v>
      </c>
      <c r="I193" s="16" t="s">
        <v>40</v>
      </c>
      <c r="J193" s="16" t="s">
        <v>296</v>
      </c>
      <c r="K193" s="16" t="s">
        <v>297</v>
      </c>
      <c r="L193" s="15">
        <v>-1030.4949996789999</v>
      </c>
      <c r="M193" s="15">
        <v>0</v>
      </c>
      <c r="N193" s="15">
        <v>-1030.1521720000001</v>
      </c>
      <c r="O193" s="15">
        <v>-0.3428276789999245</v>
      </c>
      <c r="P193" s="15">
        <v>-0.3428276789999245</v>
      </c>
      <c r="Q193" s="15">
        <f t="shared" si="5"/>
        <v>-0.3428276789999245</v>
      </c>
      <c r="R193" s="15">
        <v>0</v>
      </c>
      <c r="S193" s="15">
        <f t="shared" si="6"/>
        <v>-0.3428276789999245</v>
      </c>
      <c r="T193" s="16"/>
      <c r="U193" s="26"/>
    </row>
    <row r="194" spans="1:21" x14ac:dyDescent="0.25">
      <c r="A194" s="16" t="s">
        <v>37</v>
      </c>
      <c r="B194" s="16" t="s">
        <v>269</v>
      </c>
      <c r="C194" s="16" t="s">
        <v>270</v>
      </c>
      <c r="D194" s="16" t="s">
        <v>100</v>
      </c>
      <c r="E194" s="16" t="s">
        <v>101</v>
      </c>
      <c r="F194" s="16" t="s">
        <v>148</v>
      </c>
      <c r="G194" s="16" t="s">
        <v>149</v>
      </c>
      <c r="H194" s="16" t="s">
        <v>85</v>
      </c>
      <c r="I194" s="16" t="s">
        <v>40</v>
      </c>
      <c r="J194" s="16" t="s">
        <v>124</v>
      </c>
      <c r="K194" s="16" t="s">
        <v>125</v>
      </c>
      <c r="L194" s="15">
        <v>-326.24607971303851</v>
      </c>
      <c r="M194" s="15">
        <v>0</v>
      </c>
      <c r="N194" s="15">
        <v>-245.9699999999998</v>
      </c>
      <c r="O194" s="15">
        <v>-80.276079713038669</v>
      </c>
      <c r="P194" s="15">
        <v>0</v>
      </c>
      <c r="Q194" s="15">
        <f t="shared" si="5"/>
        <v>0</v>
      </c>
      <c r="R194" s="15">
        <v>0</v>
      </c>
      <c r="S194" s="15">
        <f t="shared" si="6"/>
        <v>0</v>
      </c>
      <c r="T194" s="16"/>
      <c r="U194" s="16"/>
    </row>
    <row r="195" spans="1:21" x14ac:dyDescent="0.25">
      <c r="A195" s="16" t="s">
        <v>37</v>
      </c>
      <c r="B195" s="16" t="s">
        <v>265</v>
      </c>
      <c r="C195" s="16" t="s">
        <v>266</v>
      </c>
      <c r="D195" s="16" t="s">
        <v>100</v>
      </c>
      <c r="E195" s="16" t="s">
        <v>101</v>
      </c>
      <c r="F195" s="16" t="s">
        <v>148</v>
      </c>
      <c r="G195" s="16" t="s">
        <v>149</v>
      </c>
      <c r="H195" s="16" t="s">
        <v>85</v>
      </c>
      <c r="I195" s="16" t="s">
        <v>40</v>
      </c>
      <c r="J195" s="16" t="s">
        <v>124</v>
      </c>
      <c r="K195" s="16" t="s">
        <v>125</v>
      </c>
      <c r="L195" s="15">
        <v>-83980.325596490962</v>
      </c>
      <c r="M195" s="15">
        <v>0</v>
      </c>
      <c r="N195" s="15">
        <v>-67381.205501853343</v>
      </c>
      <c r="O195" s="15">
        <v>-16599.120094637619</v>
      </c>
      <c r="P195" s="15">
        <v>0</v>
      </c>
      <c r="Q195" s="15">
        <f t="shared" si="5"/>
        <v>0</v>
      </c>
      <c r="R195" s="15">
        <v>0</v>
      </c>
      <c r="S195" s="15">
        <f t="shared" si="6"/>
        <v>0</v>
      </c>
      <c r="T195" s="16"/>
      <c r="U195" s="16"/>
    </row>
    <row r="196" spans="1:21" x14ac:dyDescent="0.25">
      <c r="A196" s="16" t="s">
        <v>37</v>
      </c>
      <c r="B196" s="16" t="s">
        <v>257</v>
      </c>
      <c r="C196" s="16" t="s">
        <v>258</v>
      </c>
      <c r="D196" s="16" t="s">
        <v>100</v>
      </c>
      <c r="E196" s="16" t="s">
        <v>101</v>
      </c>
      <c r="F196" s="16" t="s">
        <v>148</v>
      </c>
      <c r="G196" s="16" t="s">
        <v>149</v>
      </c>
      <c r="H196" s="16" t="s">
        <v>85</v>
      </c>
      <c r="I196" s="16" t="s">
        <v>40</v>
      </c>
      <c r="J196" s="16" t="s">
        <v>124</v>
      </c>
      <c r="K196" s="16" t="s">
        <v>125</v>
      </c>
      <c r="L196" s="15">
        <v>-49.851300000000002</v>
      </c>
      <c r="M196" s="15">
        <v>0</v>
      </c>
      <c r="N196" s="15">
        <v>-37.775855999999997</v>
      </c>
      <c r="O196" s="15">
        <v>-12.075444000000008</v>
      </c>
      <c r="P196" s="15">
        <v>0</v>
      </c>
      <c r="Q196" s="15">
        <f t="shared" si="5"/>
        <v>0</v>
      </c>
      <c r="R196" s="15">
        <v>0</v>
      </c>
      <c r="S196" s="15">
        <f t="shared" si="6"/>
        <v>0</v>
      </c>
      <c r="T196" s="16"/>
      <c r="U196" s="26"/>
    </row>
    <row r="197" spans="1:21" x14ac:dyDescent="0.25">
      <c r="A197" s="16" t="s">
        <v>37</v>
      </c>
      <c r="B197" s="16" t="s">
        <v>257</v>
      </c>
      <c r="C197" s="16" t="s">
        <v>258</v>
      </c>
      <c r="D197" s="16" t="s">
        <v>100</v>
      </c>
      <c r="E197" s="16" t="s">
        <v>101</v>
      </c>
      <c r="F197" s="16" t="s">
        <v>148</v>
      </c>
      <c r="G197" s="16" t="s">
        <v>149</v>
      </c>
      <c r="H197" s="16" t="s">
        <v>85</v>
      </c>
      <c r="I197" s="16" t="s">
        <v>40</v>
      </c>
      <c r="J197" s="16" t="s">
        <v>298</v>
      </c>
      <c r="K197" s="16" t="s">
        <v>299</v>
      </c>
      <c r="L197" s="15">
        <v>-1809.1078515200006</v>
      </c>
      <c r="M197" s="15">
        <v>-74.14305600000003</v>
      </c>
      <c r="N197" s="15">
        <v>-1151.3489468118</v>
      </c>
      <c r="O197" s="15">
        <v>-657.75890470820059</v>
      </c>
      <c r="P197" s="15">
        <v>-657.75890470820059</v>
      </c>
      <c r="Q197" s="15">
        <f t="shared" ref="Q197:Q260" si="10">P197-R197</f>
        <v>-657.75890470820059</v>
      </c>
      <c r="R197" s="15">
        <v>0</v>
      </c>
      <c r="S197" s="15">
        <f t="shared" ref="S197:S260" si="11">SUM(Q197:R197)</f>
        <v>-657.75890470820059</v>
      </c>
      <c r="T197" s="16"/>
      <c r="U197" s="26"/>
    </row>
    <row r="198" spans="1:21" x14ac:dyDescent="0.25">
      <c r="A198" s="16" t="s">
        <v>37</v>
      </c>
      <c r="B198" s="16" t="s">
        <v>269</v>
      </c>
      <c r="C198" s="16" t="s">
        <v>270</v>
      </c>
      <c r="D198" s="16" t="s">
        <v>100</v>
      </c>
      <c r="E198" s="16" t="s">
        <v>101</v>
      </c>
      <c r="F198" s="16" t="s">
        <v>148</v>
      </c>
      <c r="G198" s="16" t="s">
        <v>149</v>
      </c>
      <c r="H198" s="16" t="s">
        <v>85</v>
      </c>
      <c r="I198" s="16" t="s">
        <v>40</v>
      </c>
      <c r="J198" s="16" t="s">
        <v>132</v>
      </c>
      <c r="K198" s="16" t="s">
        <v>133</v>
      </c>
      <c r="L198" s="15">
        <v>-10752.880439504048</v>
      </c>
      <c r="M198" s="15">
        <v>-10752.880439504048</v>
      </c>
      <c r="N198" s="15">
        <v>-10752.879998038954</v>
      </c>
      <c r="O198" s="15">
        <v>-4.4146508844278287E-4</v>
      </c>
      <c r="P198" s="15">
        <v>0</v>
      </c>
      <c r="Q198" s="15">
        <f t="shared" si="10"/>
        <v>0</v>
      </c>
      <c r="R198" s="15">
        <v>0</v>
      </c>
      <c r="S198" s="15">
        <f t="shared" si="11"/>
        <v>0</v>
      </c>
      <c r="T198" s="16"/>
      <c r="U198" s="16"/>
    </row>
    <row r="199" spans="1:21" x14ac:dyDescent="0.25">
      <c r="A199" s="16" t="s">
        <v>37</v>
      </c>
      <c r="B199" s="16" t="s">
        <v>269</v>
      </c>
      <c r="C199" s="16" t="s">
        <v>270</v>
      </c>
      <c r="D199" s="16" t="s">
        <v>100</v>
      </c>
      <c r="E199" s="16" t="s">
        <v>101</v>
      </c>
      <c r="F199" s="16" t="s">
        <v>148</v>
      </c>
      <c r="G199" s="16" t="s">
        <v>149</v>
      </c>
      <c r="H199" s="16" t="s">
        <v>85</v>
      </c>
      <c r="I199" s="16" t="s">
        <v>40</v>
      </c>
      <c r="J199" s="16" t="s">
        <v>64</v>
      </c>
      <c r="K199" s="16" t="s">
        <v>65</v>
      </c>
      <c r="L199" s="15">
        <v>-18176.756525245553</v>
      </c>
      <c r="M199" s="15">
        <v>0</v>
      </c>
      <c r="N199" s="15">
        <v>-16176.759974366323</v>
      </c>
      <c r="O199" s="15">
        <v>-1999.9965508792291</v>
      </c>
      <c r="P199" s="15">
        <v>-1999.9965508792291</v>
      </c>
      <c r="Q199" s="15">
        <f t="shared" si="10"/>
        <v>-1999.9965508792291</v>
      </c>
      <c r="R199" s="15">
        <v>0</v>
      </c>
      <c r="S199" s="15">
        <f t="shared" si="11"/>
        <v>-1999.9965508792291</v>
      </c>
      <c r="T199" s="16"/>
      <c r="U199" s="16"/>
    </row>
    <row r="200" spans="1:21" x14ac:dyDescent="0.25">
      <c r="A200" s="16" t="s">
        <v>37</v>
      </c>
      <c r="B200" s="16" t="s">
        <v>269</v>
      </c>
      <c r="C200" s="16" t="s">
        <v>270</v>
      </c>
      <c r="D200" s="16" t="s">
        <v>100</v>
      </c>
      <c r="E200" s="16" t="s">
        <v>101</v>
      </c>
      <c r="F200" s="16" t="s">
        <v>148</v>
      </c>
      <c r="G200" s="16" t="s">
        <v>149</v>
      </c>
      <c r="H200" s="16" t="s">
        <v>85</v>
      </c>
      <c r="I200" s="16" t="s">
        <v>40</v>
      </c>
      <c r="J200" s="16" t="s">
        <v>66</v>
      </c>
      <c r="K200" s="16" t="s">
        <v>63</v>
      </c>
      <c r="L200" s="15">
        <v>-9034.5842188553943</v>
      </c>
      <c r="M200" s="15">
        <v>-9034.5842188553943</v>
      </c>
      <c r="N200" s="15">
        <v>-9034.5799923394934</v>
      </c>
      <c r="O200" s="15">
        <v>-4.2265159031558142E-3</v>
      </c>
      <c r="P200" s="15">
        <v>0</v>
      </c>
      <c r="Q200" s="15">
        <f t="shared" si="10"/>
        <v>0</v>
      </c>
      <c r="R200" s="15">
        <v>0</v>
      </c>
      <c r="S200" s="15">
        <f t="shared" si="11"/>
        <v>0</v>
      </c>
      <c r="T200" s="16"/>
      <c r="U200" s="16"/>
    </row>
    <row r="201" spans="1:21" x14ac:dyDescent="0.25">
      <c r="A201" s="16" t="s">
        <v>37</v>
      </c>
      <c r="B201" s="16" t="s">
        <v>257</v>
      </c>
      <c r="C201" s="16" t="s">
        <v>258</v>
      </c>
      <c r="D201" s="16" t="s">
        <v>100</v>
      </c>
      <c r="E201" s="16" t="s">
        <v>101</v>
      </c>
      <c r="F201" s="16" t="s">
        <v>148</v>
      </c>
      <c r="G201" s="16" t="s">
        <v>149</v>
      </c>
      <c r="H201" s="16" t="s">
        <v>85</v>
      </c>
      <c r="I201" s="16" t="s">
        <v>40</v>
      </c>
      <c r="J201" s="16" t="s">
        <v>67</v>
      </c>
      <c r="K201" s="16" t="s">
        <v>68</v>
      </c>
      <c r="L201" s="15">
        <v>-1120</v>
      </c>
      <c r="M201" s="15">
        <v>0</v>
      </c>
      <c r="N201" s="15">
        <v>0</v>
      </c>
      <c r="O201" s="15">
        <v>-1120</v>
      </c>
      <c r="P201" s="15">
        <v>-1120</v>
      </c>
      <c r="Q201" s="15">
        <f t="shared" si="10"/>
        <v>-1120</v>
      </c>
      <c r="R201" s="15">
        <v>0</v>
      </c>
      <c r="S201" s="15">
        <f t="shared" si="11"/>
        <v>-1120</v>
      </c>
      <c r="T201" s="16"/>
      <c r="U201" s="26"/>
    </row>
    <row r="202" spans="1:21" x14ac:dyDescent="0.25">
      <c r="A202" s="16" t="s">
        <v>37</v>
      </c>
      <c r="B202" s="16" t="s">
        <v>269</v>
      </c>
      <c r="C202" s="16" t="s">
        <v>270</v>
      </c>
      <c r="D202" s="16" t="s">
        <v>100</v>
      </c>
      <c r="E202" s="16" t="s">
        <v>101</v>
      </c>
      <c r="F202" s="16" t="s">
        <v>148</v>
      </c>
      <c r="G202" s="16" t="s">
        <v>149</v>
      </c>
      <c r="H202" s="16" t="s">
        <v>85</v>
      </c>
      <c r="I202" s="16" t="s">
        <v>40</v>
      </c>
      <c r="J202" s="16" t="s">
        <v>69</v>
      </c>
      <c r="K202" s="16" t="s">
        <v>70</v>
      </c>
      <c r="L202" s="15">
        <v>-273.84680096071338</v>
      </c>
      <c r="M202" s="15">
        <v>-273.84680096071338</v>
      </c>
      <c r="N202" s="15">
        <v>-273.84999951406212</v>
      </c>
      <c r="O202" s="15">
        <v>3.198553348688904E-3</v>
      </c>
      <c r="P202" s="15">
        <v>0</v>
      </c>
      <c r="Q202" s="15">
        <f t="shared" si="10"/>
        <v>0</v>
      </c>
      <c r="R202" s="15">
        <v>0</v>
      </c>
      <c r="S202" s="15">
        <f t="shared" si="11"/>
        <v>0</v>
      </c>
      <c r="T202" s="16"/>
      <c r="U202" s="15">
        <f t="shared" ref="U202:U203" si="12">O202</f>
        <v>3.198553348688904E-3</v>
      </c>
    </row>
    <row r="203" spans="1:21" x14ac:dyDescent="0.25">
      <c r="A203" s="16" t="s">
        <v>37</v>
      </c>
      <c r="B203" s="16" t="s">
        <v>257</v>
      </c>
      <c r="C203" s="16" t="s">
        <v>258</v>
      </c>
      <c r="D203" s="16" t="s">
        <v>100</v>
      </c>
      <c r="E203" s="16" t="s">
        <v>101</v>
      </c>
      <c r="F203" s="16" t="s">
        <v>148</v>
      </c>
      <c r="G203" s="16" t="s">
        <v>149</v>
      </c>
      <c r="H203" s="16" t="s">
        <v>85</v>
      </c>
      <c r="I203" s="16" t="s">
        <v>40</v>
      </c>
      <c r="J203" s="16" t="s">
        <v>69</v>
      </c>
      <c r="K203" s="16" t="s">
        <v>70</v>
      </c>
      <c r="L203" s="15">
        <v>-746.21734599999991</v>
      </c>
      <c r="M203" s="15">
        <v>-746.21734599999991</v>
      </c>
      <c r="N203" s="15">
        <v>-736.77326561999996</v>
      </c>
      <c r="O203" s="15">
        <v>-9.4440803799999458</v>
      </c>
      <c r="P203" s="15">
        <v>0</v>
      </c>
      <c r="Q203" s="15">
        <f t="shared" si="10"/>
        <v>0</v>
      </c>
      <c r="R203" s="15">
        <v>0</v>
      </c>
      <c r="S203" s="15">
        <f t="shared" si="11"/>
        <v>0</v>
      </c>
      <c r="T203" s="16"/>
      <c r="U203" s="15">
        <f t="shared" si="12"/>
        <v>-9.4440803799999458</v>
      </c>
    </row>
    <row r="204" spans="1:21" x14ac:dyDescent="0.25">
      <c r="A204" s="16" t="s">
        <v>37</v>
      </c>
      <c r="B204" s="16" t="s">
        <v>257</v>
      </c>
      <c r="C204" s="16" t="s">
        <v>258</v>
      </c>
      <c r="D204" s="16" t="s">
        <v>100</v>
      </c>
      <c r="E204" s="16" t="s">
        <v>101</v>
      </c>
      <c r="F204" s="16" t="s">
        <v>148</v>
      </c>
      <c r="G204" s="16" t="s">
        <v>149</v>
      </c>
      <c r="H204" s="16" t="s">
        <v>85</v>
      </c>
      <c r="I204" s="16" t="s">
        <v>40</v>
      </c>
      <c r="J204" s="16" t="s">
        <v>136</v>
      </c>
      <c r="K204" s="16" t="s">
        <v>137</v>
      </c>
      <c r="L204" s="15">
        <v>-15150.600000000011</v>
      </c>
      <c r="M204" s="15">
        <v>0</v>
      </c>
      <c r="N204" s="15">
        <v>-15150.6</v>
      </c>
      <c r="O204" s="15">
        <v>-1.0913936421275139E-11</v>
      </c>
      <c r="P204" s="15">
        <v>-1.0913936421275139E-11</v>
      </c>
      <c r="Q204" s="15">
        <f t="shared" si="10"/>
        <v>-1.0913936421275139E-11</v>
      </c>
      <c r="R204" s="15">
        <v>0</v>
      </c>
      <c r="S204" s="15">
        <f t="shared" si="11"/>
        <v>-1.0913936421275139E-11</v>
      </c>
      <c r="T204" s="16"/>
      <c r="U204" s="26"/>
    </row>
    <row r="205" spans="1:21" x14ac:dyDescent="0.25">
      <c r="A205" s="16" t="s">
        <v>37</v>
      </c>
      <c r="B205" s="16" t="s">
        <v>265</v>
      </c>
      <c r="C205" s="16" t="s">
        <v>266</v>
      </c>
      <c r="D205" s="16" t="s">
        <v>100</v>
      </c>
      <c r="E205" s="16" t="s">
        <v>101</v>
      </c>
      <c r="F205" s="16" t="s">
        <v>148</v>
      </c>
      <c r="G205" s="16" t="s">
        <v>149</v>
      </c>
      <c r="H205" s="16" t="s">
        <v>85</v>
      </c>
      <c r="I205" s="16" t="s">
        <v>40</v>
      </c>
      <c r="J205" s="16" t="s">
        <v>138</v>
      </c>
      <c r="K205" s="16" t="s">
        <v>139</v>
      </c>
      <c r="L205" s="15">
        <v>-929.92082489412621</v>
      </c>
      <c r="M205" s="15">
        <v>0</v>
      </c>
      <c r="N205" s="15">
        <v>-929.92082489412621</v>
      </c>
      <c r="O205" s="15">
        <v>-5.6843418860808015E-14</v>
      </c>
      <c r="P205" s="15">
        <v>0</v>
      </c>
      <c r="Q205" s="15">
        <f t="shared" si="10"/>
        <v>0</v>
      </c>
      <c r="R205" s="15">
        <v>0</v>
      </c>
      <c r="S205" s="15">
        <f t="shared" si="11"/>
        <v>0</v>
      </c>
      <c r="T205" s="16"/>
      <c r="U205" s="16"/>
    </row>
    <row r="206" spans="1:21" x14ac:dyDescent="0.25">
      <c r="A206" s="28" t="s">
        <v>37</v>
      </c>
      <c r="B206" s="28" t="s">
        <v>269</v>
      </c>
      <c r="C206" s="28" t="s">
        <v>270</v>
      </c>
      <c r="D206" s="28" t="s">
        <v>100</v>
      </c>
      <c r="E206" s="28" t="s">
        <v>101</v>
      </c>
      <c r="F206" s="28" t="s">
        <v>150</v>
      </c>
      <c r="G206" s="28" t="s">
        <v>151</v>
      </c>
      <c r="H206" s="28" t="s">
        <v>85</v>
      </c>
      <c r="I206" s="28" t="s">
        <v>40</v>
      </c>
      <c r="J206" s="28" t="s">
        <v>38</v>
      </c>
      <c r="K206" s="28" t="s">
        <v>293</v>
      </c>
      <c r="L206" s="29">
        <v>-69311.807689992798</v>
      </c>
      <c r="M206" s="29">
        <v>-1362.9113140377444</v>
      </c>
      <c r="N206" s="29">
        <v>-90516.822132757981</v>
      </c>
      <c r="O206" s="29">
        <v>21205.01444276519</v>
      </c>
      <c r="P206" s="29">
        <f>O206</f>
        <v>21205.01444276519</v>
      </c>
      <c r="Q206" s="29">
        <f>P206-R206-21205</f>
        <v>1.444276519032428E-2</v>
      </c>
      <c r="R206" s="15">
        <v>0</v>
      </c>
      <c r="S206" s="15">
        <f t="shared" si="11"/>
        <v>1.444276519032428E-2</v>
      </c>
      <c r="T206" s="16"/>
      <c r="U206" s="16"/>
    </row>
    <row r="207" spans="1:21" x14ac:dyDescent="0.25">
      <c r="A207" s="16" t="s">
        <v>37</v>
      </c>
      <c r="B207" s="16" t="s">
        <v>265</v>
      </c>
      <c r="C207" s="16" t="s">
        <v>266</v>
      </c>
      <c r="D207" s="16" t="s">
        <v>100</v>
      </c>
      <c r="E207" s="16" t="s">
        <v>101</v>
      </c>
      <c r="F207" s="16" t="s">
        <v>150</v>
      </c>
      <c r="G207" s="16" t="s">
        <v>151</v>
      </c>
      <c r="H207" s="16" t="s">
        <v>85</v>
      </c>
      <c r="I207" s="16" t="s">
        <v>40</v>
      </c>
      <c r="J207" s="16" t="s">
        <v>38</v>
      </c>
      <c r="K207" s="16" t="s">
        <v>293</v>
      </c>
      <c r="L207" s="15">
        <v>-734552.59319608833</v>
      </c>
      <c r="M207" s="15">
        <v>-17355.210336059125</v>
      </c>
      <c r="N207" s="15">
        <v>-681405.83136771293</v>
      </c>
      <c r="O207" s="15">
        <v>-53146.761828375456</v>
      </c>
      <c r="P207" s="15">
        <v>-53146.761828375456</v>
      </c>
      <c r="Q207" s="15">
        <f t="shared" si="10"/>
        <v>-53146.761828375456</v>
      </c>
      <c r="R207" s="15">
        <v>0</v>
      </c>
      <c r="S207" s="15">
        <f t="shared" si="11"/>
        <v>-53146.761828375456</v>
      </c>
      <c r="T207" s="16"/>
      <c r="U207" s="16"/>
    </row>
    <row r="208" spans="1:21" x14ac:dyDescent="0.25">
      <c r="A208" s="16" t="s">
        <v>37</v>
      </c>
      <c r="B208" s="16" t="s">
        <v>257</v>
      </c>
      <c r="C208" s="16" t="s">
        <v>258</v>
      </c>
      <c r="D208" s="16" t="s">
        <v>100</v>
      </c>
      <c r="E208" s="16" t="s">
        <v>101</v>
      </c>
      <c r="F208" s="16" t="s">
        <v>150</v>
      </c>
      <c r="G208" s="16" t="s">
        <v>151</v>
      </c>
      <c r="H208" s="16" t="s">
        <v>85</v>
      </c>
      <c r="I208" s="16" t="s">
        <v>40</v>
      </c>
      <c r="J208" s="16" t="s">
        <v>38</v>
      </c>
      <c r="K208" s="16" t="s">
        <v>293</v>
      </c>
      <c r="L208" s="15">
        <v>-2069203.2258091397</v>
      </c>
      <c r="M208" s="15">
        <v>-368671.95500238927</v>
      </c>
      <c r="N208" s="15">
        <v>-1272670.7156298857</v>
      </c>
      <c r="O208" s="15">
        <v>-796532.51017925376</v>
      </c>
      <c r="P208" s="15">
        <v>-796532.51017925376</v>
      </c>
      <c r="Q208" s="15">
        <f>P208-R208+P206</f>
        <v>-775327.49573648861</v>
      </c>
      <c r="R208" s="15">
        <v>0</v>
      </c>
      <c r="S208" s="15">
        <f t="shared" si="11"/>
        <v>-775327.49573648861</v>
      </c>
      <c r="T208" s="16"/>
      <c r="U208" s="26"/>
    </row>
    <row r="209" spans="1:21" x14ac:dyDescent="0.25">
      <c r="A209" s="16" t="s">
        <v>37</v>
      </c>
      <c r="B209" s="16" t="s">
        <v>257</v>
      </c>
      <c r="C209" s="16" t="s">
        <v>258</v>
      </c>
      <c r="D209" s="16" t="s">
        <v>100</v>
      </c>
      <c r="E209" s="16" t="s">
        <v>101</v>
      </c>
      <c r="F209" s="16" t="s">
        <v>150</v>
      </c>
      <c r="G209" s="16" t="s">
        <v>151</v>
      </c>
      <c r="H209" s="16" t="s">
        <v>85</v>
      </c>
      <c r="I209" s="16" t="s">
        <v>40</v>
      </c>
      <c r="J209" s="16" t="s">
        <v>285</v>
      </c>
      <c r="K209" s="16" t="s">
        <v>286</v>
      </c>
      <c r="L209" s="15">
        <v>-7663.1301810000004</v>
      </c>
      <c r="M209" s="15">
        <v>-5997.4810440000001</v>
      </c>
      <c r="N209" s="15">
        <v>-2920.6266059999998</v>
      </c>
      <c r="O209" s="15">
        <v>-4742.5035750000006</v>
      </c>
      <c r="P209" s="15">
        <f>O209</f>
        <v>-4742.5035750000006</v>
      </c>
      <c r="Q209" s="15">
        <f t="shared" si="10"/>
        <v>1327.1405909999985</v>
      </c>
      <c r="R209" s="15">
        <v>-6069.6441659999991</v>
      </c>
      <c r="S209" s="15">
        <f t="shared" si="11"/>
        <v>-4742.5035750000006</v>
      </c>
      <c r="T209" s="16"/>
      <c r="U209" s="26"/>
    </row>
    <row r="210" spans="1:21" x14ac:dyDescent="0.25">
      <c r="A210" s="16" t="s">
        <v>37</v>
      </c>
      <c r="B210" s="16" t="s">
        <v>257</v>
      </c>
      <c r="C210" s="16" t="s">
        <v>258</v>
      </c>
      <c r="D210" s="16" t="s">
        <v>100</v>
      </c>
      <c r="E210" s="16" t="s">
        <v>101</v>
      </c>
      <c r="F210" s="16" t="s">
        <v>150</v>
      </c>
      <c r="G210" s="16" t="s">
        <v>151</v>
      </c>
      <c r="H210" s="16" t="s">
        <v>85</v>
      </c>
      <c r="I210" s="16" t="s">
        <v>40</v>
      </c>
      <c r="J210" s="16" t="s">
        <v>142</v>
      </c>
      <c r="K210" s="16" t="s">
        <v>143</v>
      </c>
      <c r="L210" s="15">
        <v>-4258.0300000000007</v>
      </c>
      <c r="M210" s="15">
        <v>0</v>
      </c>
      <c r="N210" s="15">
        <v>0</v>
      </c>
      <c r="O210" s="15">
        <v>-4258.0300000000007</v>
      </c>
      <c r="P210" s="15">
        <v>-4258.0300000000007</v>
      </c>
      <c r="Q210" s="15">
        <f t="shared" si="10"/>
        <v>-4258.0300000000007</v>
      </c>
      <c r="R210" s="15">
        <v>0</v>
      </c>
      <c r="S210" s="15">
        <f t="shared" si="11"/>
        <v>-4258.0300000000007</v>
      </c>
      <c r="T210" s="16"/>
      <c r="U210" s="26"/>
    </row>
    <row r="211" spans="1:21" x14ac:dyDescent="0.25">
      <c r="A211" s="16" t="s">
        <v>37</v>
      </c>
      <c r="B211" s="16" t="s">
        <v>269</v>
      </c>
      <c r="C211" s="16" t="s">
        <v>270</v>
      </c>
      <c r="D211" s="16" t="s">
        <v>100</v>
      </c>
      <c r="E211" s="16" t="s">
        <v>101</v>
      </c>
      <c r="F211" s="16" t="s">
        <v>150</v>
      </c>
      <c r="G211" s="16" t="s">
        <v>151</v>
      </c>
      <c r="H211" s="16" t="s">
        <v>85</v>
      </c>
      <c r="I211" s="16" t="s">
        <v>40</v>
      </c>
      <c r="J211" s="16" t="s">
        <v>130</v>
      </c>
      <c r="K211" s="16" t="s">
        <v>131</v>
      </c>
      <c r="L211" s="15">
        <v>-4177.2000000144217</v>
      </c>
      <c r="M211" s="15">
        <v>-4177.2000000144217</v>
      </c>
      <c r="N211" s="15">
        <v>0</v>
      </c>
      <c r="O211" s="15">
        <v>-4177.2000000144217</v>
      </c>
      <c r="P211" s="15">
        <v>-4177.2000000144217</v>
      </c>
      <c r="Q211" s="15">
        <f t="shared" si="10"/>
        <v>-4177.2000000144217</v>
      </c>
      <c r="R211" s="15">
        <v>0</v>
      </c>
      <c r="S211" s="15">
        <f t="shared" si="11"/>
        <v>-4177.2000000144217</v>
      </c>
      <c r="T211" s="16"/>
      <c r="U211" s="16"/>
    </row>
    <row r="212" spans="1:21" x14ac:dyDescent="0.25">
      <c r="A212" s="16" t="s">
        <v>37</v>
      </c>
      <c r="B212" s="16" t="s">
        <v>257</v>
      </c>
      <c r="C212" s="16" t="s">
        <v>258</v>
      </c>
      <c r="D212" s="16" t="s">
        <v>100</v>
      </c>
      <c r="E212" s="16" t="s">
        <v>101</v>
      </c>
      <c r="F212" s="16" t="s">
        <v>150</v>
      </c>
      <c r="G212" s="16" t="s">
        <v>151</v>
      </c>
      <c r="H212" s="16" t="s">
        <v>85</v>
      </c>
      <c r="I212" s="16" t="s">
        <v>40</v>
      </c>
      <c r="J212" s="16" t="s">
        <v>296</v>
      </c>
      <c r="K212" s="16" t="s">
        <v>297</v>
      </c>
      <c r="L212" s="15">
        <v>-3368.6049847886998</v>
      </c>
      <c r="M212" s="15">
        <v>-954.01709654999979</v>
      </c>
      <c r="N212" s="15">
        <v>-3225.3397880000002</v>
      </c>
      <c r="O212" s="15">
        <v>-143.26519678869965</v>
      </c>
      <c r="P212" s="15">
        <v>-143.26519678869965</v>
      </c>
      <c r="Q212" s="15">
        <f t="shared" si="10"/>
        <v>-143.26519678869965</v>
      </c>
      <c r="R212" s="15">
        <v>0</v>
      </c>
      <c r="S212" s="15">
        <f t="shared" si="11"/>
        <v>-143.26519678869965</v>
      </c>
      <c r="T212" s="16"/>
      <c r="U212" s="26"/>
    </row>
    <row r="213" spans="1:21" x14ac:dyDescent="0.25">
      <c r="A213" s="16" t="s">
        <v>37</v>
      </c>
      <c r="B213" s="16" t="s">
        <v>269</v>
      </c>
      <c r="C213" s="16" t="s">
        <v>270</v>
      </c>
      <c r="D213" s="16" t="s">
        <v>100</v>
      </c>
      <c r="E213" s="16" t="s">
        <v>101</v>
      </c>
      <c r="F213" s="16" t="s">
        <v>150</v>
      </c>
      <c r="G213" s="16" t="s">
        <v>151</v>
      </c>
      <c r="H213" s="16" t="s">
        <v>85</v>
      </c>
      <c r="I213" s="16" t="s">
        <v>40</v>
      </c>
      <c r="J213" s="16" t="s">
        <v>124</v>
      </c>
      <c r="K213" s="16" t="s">
        <v>125</v>
      </c>
      <c r="L213" s="15">
        <v>-437.54948073617271</v>
      </c>
      <c r="M213" s="15">
        <v>0</v>
      </c>
      <c r="N213" s="15">
        <v>-317.11999999999978</v>
      </c>
      <c r="O213" s="15">
        <v>-120.42948073617296</v>
      </c>
      <c r="P213" s="15">
        <v>0</v>
      </c>
      <c r="Q213" s="15">
        <f t="shared" si="10"/>
        <v>0</v>
      </c>
      <c r="R213" s="15">
        <v>0</v>
      </c>
      <c r="S213" s="15">
        <f t="shared" si="11"/>
        <v>0</v>
      </c>
      <c r="T213" s="16"/>
      <c r="U213" s="16"/>
    </row>
    <row r="214" spans="1:21" x14ac:dyDescent="0.25">
      <c r="A214" s="16" t="s">
        <v>37</v>
      </c>
      <c r="B214" s="16" t="s">
        <v>265</v>
      </c>
      <c r="C214" s="16" t="s">
        <v>266</v>
      </c>
      <c r="D214" s="16" t="s">
        <v>100</v>
      </c>
      <c r="E214" s="16" t="s">
        <v>101</v>
      </c>
      <c r="F214" s="16" t="s">
        <v>150</v>
      </c>
      <c r="G214" s="16" t="s">
        <v>151</v>
      </c>
      <c r="H214" s="16" t="s">
        <v>85</v>
      </c>
      <c r="I214" s="16" t="s">
        <v>40</v>
      </c>
      <c r="J214" s="16" t="s">
        <v>124</v>
      </c>
      <c r="K214" s="16" t="s">
        <v>125</v>
      </c>
      <c r="L214" s="15">
        <v>-71972.876027279854</v>
      </c>
      <c r="M214" s="15">
        <v>0</v>
      </c>
      <c r="N214" s="15">
        <v>-57592.170053642207</v>
      </c>
      <c r="O214" s="15">
        <v>-14380.705973637661</v>
      </c>
      <c r="P214" s="15">
        <v>0</v>
      </c>
      <c r="Q214" s="15">
        <f t="shared" si="10"/>
        <v>0</v>
      </c>
      <c r="R214" s="15">
        <v>0</v>
      </c>
      <c r="S214" s="15">
        <f t="shared" si="11"/>
        <v>0</v>
      </c>
      <c r="T214" s="16"/>
      <c r="U214" s="16"/>
    </row>
    <row r="215" spans="1:21" x14ac:dyDescent="0.25">
      <c r="A215" s="16" t="s">
        <v>37</v>
      </c>
      <c r="B215" s="16" t="s">
        <v>257</v>
      </c>
      <c r="C215" s="16" t="s">
        <v>258</v>
      </c>
      <c r="D215" s="16" t="s">
        <v>100</v>
      </c>
      <c r="E215" s="16" t="s">
        <v>101</v>
      </c>
      <c r="F215" s="16" t="s">
        <v>150</v>
      </c>
      <c r="G215" s="16" t="s">
        <v>151</v>
      </c>
      <c r="H215" s="16" t="s">
        <v>85</v>
      </c>
      <c r="I215" s="16" t="s">
        <v>40</v>
      </c>
      <c r="J215" s="16" t="s">
        <v>124</v>
      </c>
      <c r="K215" s="16" t="s">
        <v>125</v>
      </c>
      <c r="L215" s="15">
        <v>-71.282699999999991</v>
      </c>
      <c r="M215" s="15">
        <v>0</v>
      </c>
      <c r="N215" s="15">
        <v>-53.957364000000005</v>
      </c>
      <c r="O215" s="15">
        <v>-17.325335999999986</v>
      </c>
      <c r="P215" s="15">
        <v>0</v>
      </c>
      <c r="Q215" s="15">
        <f t="shared" si="10"/>
        <v>0</v>
      </c>
      <c r="R215" s="15">
        <v>0</v>
      </c>
      <c r="S215" s="15">
        <f t="shared" si="11"/>
        <v>0</v>
      </c>
      <c r="T215" s="16"/>
      <c r="U215" s="26"/>
    </row>
    <row r="216" spans="1:21" x14ac:dyDescent="0.25">
      <c r="A216" s="16" t="s">
        <v>37</v>
      </c>
      <c r="B216" s="16" t="s">
        <v>257</v>
      </c>
      <c r="C216" s="16" t="s">
        <v>258</v>
      </c>
      <c r="D216" s="16" t="s">
        <v>100</v>
      </c>
      <c r="E216" s="16" t="s">
        <v>101</v>
      </c>
      <c r="F216" s="16" t="s">
        <v>150</v>
      </c>
      <c r="G216" s="16" t="s">
        <v>151</v>
      </c>
      <c r="H216" s="16" t="s">
        <v>85</v>
      </c>
      <c r="I216" s="16" t="s">
        <v>40</v>
      </c>
      <c r="J216" s="16" t="s">
        <v>298</v>
      </c>
      <c r="K216" s="16" t="s">
        <v>299</v>
      </c>
      <c r="L216" s="15">
        <v>-4995.7724056200004</v>
      </c>
      <c r="M216" s="15">
        <v>-204.6063180000001</v>
      </c>
      <c r="N216" s="15">
        <v>-3169.145476445</v>
      </c>
      <c r="O216" s="15">
        <v>-1826.6269291750007</v>
      </c>
      <c r="P216" s="15">
        <v>-1826.6269291750007</v>
      </c>
      <c r="Q216" s="15">
        <f t="shared" si="10"/>
        <v>-1826.6269291750007</v>
      </c>
      <c r="R216" s="15">
        <v>0</v>
      </c>
      <c r="S216" s="15">
        <f t="shared" si="11"/>
        <v>-1826.6269291750007</v>
      </c>
      <c r="T216" s="16"/>
      <c r="U216" s="26"/>
    </row>
    <row r="217" spans="1:21" x14ac:dyDescent="0.25">
      <c r="A217" s="16" t="s">
        <v>37</v>
      </c>
      <c r="B217" s="16" t="s">
        <v>269</v>
      </c>
      <c r="C217" s="16" t="s">
        <v>270</v>
      </c>
      <c r="D217" s="16" t="s">
        <v>100</v>
      </c>
      <c r="E217" s="16" t="s">
        <v>101</v>
      </c>
      <c r="F217" s="16" t="s">
        <v>150</v>
      </c>
      <c r="G217" s="16" t="s">
        <v>151</v>
      </c>
      <c r="H217" s="16" t="s">
        <v>85</v>
      </c>
      <c r="I217" s="16" t="s">
        <v>40</v>
      </c>
      <c r="J217" s="16" t="s">
        <v>132</v>
      </c>
      <c r="K217" s="16" t="s">
        <v>133</v>
      </c>
      <c r="L217" s="15">
        <v>-9732.6702180645443</v>
      </c>
      <c r="M217" s="15">
        <v>-9732.6702180645443</v>
      </c>
      <c r="N217" s="15">
        <v>-9732.6699982250157</v>
      </c>
      <c r="O217" s="15">
        <v>-2.1983952956361463E-4</v>
      </c>
      <c r="P217" s="15">
        <v>0</v>
      </c>
      <c r="Q217" s="15">
        <f t="shared" si="10"/>
        <v>0</v>
      </c>
      <c r="R217" s="15">
        <v>0</v>
      </c>
      <c r="S217" s="15">
        <f t="shared" si="11"/>
        <v>0</v>
      </c>
      <c r="T217" s="16"/>
      <c r="U217" s="16"/>
    </row>
    <row r="218" spans="1:21" x14ac:dyDescent="0.25">
      <c r="A218" s="16" t="s">
        <v>37</v>
      </c>
      <c r="B218" s="16" t="s">
        <v>269</v>
      </c>
      <c r="C218" s="16" t="s">
        <v>270</v>
      </c>
      <c r="D218" s="16" t="s">
        <v>100</v>
      </c>
      <c r="E218" s="16" t="s">
        <v>101</v>
      </c>
      <c r="F218" s="16" t="s">
        <v>150</v>
      </c>
      <c r="G218" s="16" t="s">
        <v>151</v>
      </c>
      <c r="H218" s="16" t="s">
        <v>85</v>
      </c>
      <c r="I218" s="16" t="s">
        <v>40</v>
      </c>
      <c r="J218" s="16" t="s">
        <v>64</v>
      </c>
      <c r="K218" s="16" t="s">
        <v>65</v>
      </c>
      <c r="L218" s="15">
        <v>-23328.731160813026</v>
      </c>
      <c r="M218" s="15">
        <v>0</v>
      </c>
      <c r="N218" s="15">
        <v>-21828.729965410221</v>
      </c>
      <c r="O218" s="15">
        <v>-1500.0011954028002</v>
      </c>
      <c r="P218" s="15">
        <v>-1500.0011954028002</v>
      </c>
      <c r="Q218" s="15">
        <f t="shared" si="10"/>
        <v>-1500.0011954028002</v>
      </c>
      <c r="R218" s="15">
        <v>0</v>
      </c>
      <c r="S218" s="15">
        <f t="shared" si="11"/>
        <v>-1500.0011954028002</v>
      </c>
      <c r="T218" s="16"/>
      <c r="U218" s="16"/>
    </row>
    <row r="219" spans="1:21" x14ac:dyDescent="0.25">
      <c r="A219" s="16" t="s">
        <v>37</v>
      </c>
      <c r="B219" s="16" t="s">
        <v>269</v>
      </c>
      <c r="C219" s="16" t="s">
        <v>270</v>
      </c>
      <c r="D219" s="16" t="s">
        <v>100</v>
      </c>
      <c r="E219" s="16" t="s">
        <v>101</v>
      </c>
      <c r="F219" s="16" t="s">
        <v>150</v>
      </c>
      <c r="G219" s="16" t="s">
        <v>151</v>
      </c>
      <c r="H219" s="16" t="s">
        <v>85</v>
      </c>
      <c r="I219" s="16" t="s">
        <v>40</v>
      </c>
      <c r="J219" s="16" t="s">
        <v>66</v>
      </c>
      <c r="K219" s="16" t="s">
        <v>63</v>
      </c>
      <c r="L219" s="15">
        <v>-8781.4482000692387</v>
      </c>
      <c r="M219" s="15">
        <v>-8781.4482000692387</v>
      </c>
      <c r="N219" s="15">
        <v>-8781.449992554124</v>
      </c>
      <c r="O219" s="15">
        <v>1.7924848862094223E-3</v>
      </c>
      <c r="P219" s="15">
        <v>0</v>
      </c>
      <c r="Q219" s="15">
        <f t="shared" si="10"/>
        <v>0</v>
      </c>
      <c r="R219" s="15">
        <v>0</v>
      </c>
      <c r="S219" s="15">
        <f t="shared" si="11"/>
        <v>0</v>
      </c>
      <c r="T219" s="16"/>
      <c r="U219" s="16"/>
    </row>
    <row r="220" spans="1:21" x14ac:dyDescent="0.25">
      <c r="A220" s="16" t="s">
        <v>37</v>
      </c>
      <c r="B220" s="16" t="s">
        <v>257</v>
      </c>
      <c r="C220" s="16" t="s">
        <v>258</v>
      </c>
      <c r="D220" s="16" t="s">
        <v>100</v>
      </c>
      <c r="E220" s="16" t="s">
        <v>101</v>
      </c>
      <c r="F220" s="16" t="s">
        <v>150</v>
      </c>
      <c r="G220" s="16" t="s">
        <v>151</v>
      </c>
      <c r="H220" s="16" t="s">
        <v>85</v>
      </c>
      <c r="I220" s="16" t="s">
        <v>40</v>
      </c>
      <c r="J220" s="16" t="s">
        <v>67</v>
      </c>
      <c r="K220" s="16" t="s">
        <v>68</v>
      </c>
      <c r="L220" s="15">
        <v>-2820</v>
      </c>
      <c r="M220" s="15">
        <v>0</v>
      </c>
      <c r="N220" s="15">
        <v>0</v>
      </c>
      <c r="O220" s="15">
        <v>-2820</v>
      </c>
      <c r="P220" s="15">
        <v>-2820</v>
      </c>
      <c r="Q220" s="15">
        <f t="shared" si="10"/>
        <v>-2820</v>
      </c>
      <c r="R220" s="15">
        <v>0</v>
      </c>
      <c r="S220" s="15">
        <f t="shared" si="11"/>
        <v>-2820</v>
      </c>
      <c r="T220" s="16"/>
      <c r="U220" s="26"/>
    </row>
    <row r="221" spans="1:21" x14ac:dyDescent="0.25">
      <c r="A221" s="16" t="s">
        <v>37</v>
      </c>
      <c r="B221" s="16" t="s">
        <v>269</v>
      </c>
      <c r="C221" s="16" t="s">
        <v>270</v>
      </c>
      <c r="D221" s="16" t="s">
        <v>100</v>
      </c>
      <c r="E221" s="16" t="s">
        <v>101</v>
      </c>
      <c r="F221" s="16" t="s">
        <v>150</v>
      </c>
      <c r="G221" s="16" t="s">
        <v>151</v>
      </c>
      <c r="H221" s="16" t="s">
        <v>85</v>
      </c>
      <c r="I221" s="16" t="s">
        <v>40</v>
      </c>
      <c r="J221" s="16" t="s">
        <v>69</v>
      </c>
      <c r="K221" s="16" t="s">
        <v>70</v>
      </c>
      <c r="L221" s="15">
        <v>-323.46823602022323</v>
      </c>
      <c r="M221" s="15">
        <v>-323.46823602022323</v>
      </c>
      <c r="N221" s="15">
        <v>-323.46999942601292</v>
      </c>
      <c r="O221" s="15">
        <v>1.7634057897666366E-3</v>
      </c>
      <c r="P221" s="15">
        <v>0</v>
      </c>
      <c r="Q221" s="15">
        <f t="shared" si="10"/>
        <v>0</v>
      </c>
      <c r="R221" s="15">
        <v>0</v>
      </c>
      <c r="S221" s="15">
        <f t="shared" si="11"/>
        <v>0</v>
      </c>
      <c r="T221" s="16"/>
      <c r="U221" s="15">
        <f t="shared" ref="U221:U222" si="13">O221</f>
        <v>1.7634057897666366E-3</v>
      </c>
    </row>
    <row r="222" spans="1:21" x14ac:dyDescent="0.25">
      <c r="A222" s="16" t="s">
        <v>37</v>
      </c>
      <c r="B222" s="16" t="s">
        <v>257</v>
      </c>
      <c r="C222" s="16" t="s">
        <v>258</v>
      </c>
      <c r="D222" s="16" t="s">
        <v>100</v>
      </c>
      <c r="E222" s="16" t="s">
        <v>101</v>
      </c>
      <c r="F222" s="16" t="s">
        <v>150</v>
      </c>
      <c r="G222" s="16" t="s">
        <v>151</v>
      </c>
      <c r="H222" s="16" t="s">
        <v>85</v>
      </c>
      <c r="I222" s="16" t="s">
        <v>40</v>
      </c>
      <c r="J222" s="16" t="s">
        <v>69</v>
      </c>
      <c r="K222" s="16" t="s">
        <v>70</v>
      </c>
      <c r="L222" s="15">
        <v>-1881.2202</v>
      </c>
      <c r="M222" s="15">
        <v>-1881.2202</v>
      </c>
      <c r="N222" s="15">
        <v>-1857.4115940000002</v>
      </c>
      <c r="O222" s="15">
        <v>-23.808605999999699</v>
      </c>
      <c r="P222" s="15">
        <v>0</v>
      </c>
      <c r="Q222" s="15">
        <f t="shared" si="10"/>
        <v>0</v>
      </c>
      <c r="R222" s="15">
        <v>0</v>
      </c>
      <c r="S222" s="15">
        <f t="shared" si="11"/>
        <v>0</v>
      </c>
      <c r="T222" s="16"/>
      <c r="U222" s="15">
        <f t="shared" si="13"/>
        <v>-23.808605999999699</v>
      </c>
    </row>
    <row r="223" spans="1:21" x14ac:dyDescent="0.25">
      <c r="A223" s="16" t="s">
        <v>37</v>
      </c>
      <c r="B223" s="16" t="s">
        <v>257</v>
      </c>
      <c r="C223" s="16" t="s">
        <v>258</v>
      </c>
      <c r="D223" s="16" t="s">
        <v>100</v>
      </c>
      <c r="E223" s="16" t="s">
        <v>101</v>
      </c>
      <c r="F223" s="16" t="s">
        <v>150</v>
      </c>
      <c r="G223" s="16" t="s">
        <v>151</v>
      </c>
      <c r="H223" s="16" t="s">
        <v>85</v>
      </c>
      <c r="I223" s="16" t="s">
        <v>40</v>
      </c>
      <c r="J223" s="16" t="s">
        <v>136</v>
      </c>
      <c r="K223" s="16" t="s">
        <v>137</v>
      </c>
      <c r="L223" s="15">
        <v>-21618.400000000012</v>
      </c>
      <c r="M223" s="15">
        <v>0</v>
      </c>
      <c r="N223" s="15">
        <v>-21618.400000000009</v>
      </c>
      <c r="O223" s="15">
        <v>-3.637978807091713E-12</v>
      </c>
      <c r="P223" s="15">
        <v>-3.637978807091713E-12</v>
      </c>
      <c r="Q223" s="15">
        <f t="shared" si="10"/>
        <v>-3.637978807091713E-12</v>
      </c>
      <c r="R223" s="15">
        <v>0</v>
      </c>
      <c r="S223" s="15">
        <f t="shared" si="11"/>
        <v>-3.637978807091713E-12</v>
      </c>
      <c r="T223" s="16"/>
      <c r="U223" s="26"/>
    </row>
    <row r="224" spans="1:21" x14ac:dyDescent="0.25">
      <c r="A224" s="16" t="s">
        <v>37</v>
      </c>
      <c r="B224" s="16" t="s">
        <v>265</v>
      </c>
      <c r="C224" s="16" t="s">
        <v>266</v>
      </c>
      <c r="D224" s="16" t="s">
        <v>100</v>
      </c>
      <c r="E224" s="16" t="s">
        <v>101</v>
      </c>
      <c r="F224" s="16" t="s">
        <v>150</v>
      </c>
      <c r="G224" s="16" t="s">
        <v>151</v>
      </c>
      <c r="H224" s="16" t="s">
        <v>85</v>
      </c>
      <c r="I224" s="16" t="s">
        <v>40</v>
      </c>
      <c r="J224" s="16" t="s">
        <v>138</v>
      </c>
      <c r="K224" s="16" t="s">
        <v>139</v>
      </c>
      <c r="L224" s="15">
        <v>-794.82336849304261</v>
      </c>
      <c r="M224" s="15">
        <v>0</v>
      </c>
      <c r="N224" s="15">
        <v>-794.82336849304261</v>
      </c>
      <c r="O224" s="15">
        <v>5.6843418860808015E-14</v>
      </c>
      <c r="P224" s="15">
        <v>0</v>
      </c>
      <c r="Q224" s="15">
        <f t="shared" si="10"/>
        <v>0</v>
      </c>
      <c r="R224" s="15">
        <v>0</v>
      </c>
      <c r="S224" s="15">
        <f t="shared" si="11"/>
        <v>0</v>
      </c>
      <c r="T224" s="16"/>
      <c r="U224" s="16"/>
    </row>
    <row r="225" spans="1:21" x14ac:dyDescent="0.25">
      <c r="A225" s="16" t="s">
        <v>37</v>
      </c>
      <c r="B225" s="16" t="s">
        <v>265</v>
      </c>
      <c r="C225" s="16" t="s">
        <v>266</v>
      </c>
      <c r="D225" s="16" t="s">
        <v>100</v>
      </c>
      <c r="E225" s="16" t="s">
        <v>101</v>
      </c>
      <c r="F225" s="16" t="s">
        <v>152</v>
      </c>
      <c r="G225" s="16" t="s">
        <v>153</v>
      </c>
      <c r="H225" s="16" t="s">
        <v>85</v>
      </c>
      <c r="I225" s="16" t="s">
        <v>40</v>
      </c>
      <c r="J225" s="16" t="s">
        <v>38</v>
      </c>
      <c r="K225" s="16" t="s">
        <v>293</v>
      </c>
      <c r="L225" s="15">
        <v>-1829082.8456786238</v>
      </c>
      <c r="M225" s="15">
        <v>-77699.741581296083</v>
      </c>
      <c r="N225" s="15">
        <v>-1678997.8264354237</v>
      </c>
      <c r="O225" s="15">
        <v>-150085.01924319984</v>
      </c>
      <c r="P225" s="15">
        <v>-150085.01924319984</v>
      </c>
      <c r="Q225" s="15">
        <f t="shared" si="10"/>
        <v>-150085.01924319984</v>
      </c>
      <c r="R225" s="15">
        <v>0</v>
      </c>
      <c r="S225" s="15">
        <f t="shared" si="11"/>
        <v>-150085.01924319984</v>
      </c>
      <c r="T225" s="16"/>
      <c r="U225" s="16"/>
    </row>
    <row r="226" spans="1:21" x14ac:dyDescent="0.25">
      <c r="A226" s="16" t="s">
        <v>37</v>
      </c>
      <c r="B226" s="16" t="s">
        <v>261</v>
      </c>
      <c r="C226" s="16" t="s">
        <v>262</v>
      </c>
      <c r="D226" s="16" t="s">
        <v>100</v>
      </c>
      <c r="E226" s="16" t="s">
        <v>101</v>
      </c>
      <c r="F226" s="16" t="s">
        <v>152</v>
      </c>
      <c r="G226" s="16" t="s">
        <v>153</v>
      </c>
      <c r="H226" s="16" t="s">
        <v>85</v>
      </c>
      <c r="I226" s="16" t="s">
        <v>40</v>
      </c>
      <c r="J226" s="16" t="s">
        <v>38</v>
      </c>
      <c r="K226" s="16" t="s">
        <v>293</v>
      </c>
      <c r="L226" s="15">
        <v>-746803.93842890649</v>
      </c>
      <c r="M226" s="15">
        <v>-223976.67003999994</v>
      </c>
      <c r="N226" s="15">
        <v>-567660.53361837589</v>
      </c>
      <c r="O226" s="15">
        <v>-179143.40481053063</v>
      </c>
      <c r="P226" s="15">
        <v>-179143.40481053063</v>
      </c>
      <c r="Q226" s="15">
        <f t="shared" si="10"/>
        <v>-179143.40481053063</v>
      </c>
      <c r="R226" s="15">
        <v>0</v>
      </c>
      <c r="S226" s="15">
        <f t="shared" si="11"/>
        <v>-179143.40481053063</v>
      </c>
      <c r="T226" s="16"/>
      <c r="U226" s="16"/>
    </row>
    <row r="227" spans="1:21" x14ac:dyDescent="0.25">
      <c r="A227" s="28" t="s">
        <v>37</v>
      </c>
      <c r="B227" s="28" t="s">
        <v>269</v>
      </c>
      <c r="C227" s="28" t="s">
        <v>270</v>
      </c>
      <c r="D227" s="28" t="s">
        <v>100</v>
      </c>
      <c r="E227" s="28" t="s">
        <v>101</v>
      </c>
      <c r="F227" s="28" t="s">
        <v>152</v>
      </c>
      <c r="G227" s="28" t="s">
        <v>153</v>
      </c>
      <c r="H227" s="28" t="s">
        <v>85</v>
      </c>
      <c r="I227" s="28" t="s">
        <v>40</v>
      </c>
      <c r="J227" s="28" t="s">
        <v>38</v>
      </c>
      <c r="K227" s="28" t="s">
        <v>293</v>
      </c>
      <c r="L227" s="29">
        <v>-363379.75326868257</v>
      </c>
      <c r="M227" s="29">
        <v>-29823.783966945608</v>
      </c>
      <c r="N227" s="29">
        <v>-359047.74566667841</v>
      </c>
      <c r="O227" s="29">
        <v>-4332.0076020042325</v>
      </c>
      <c r="P227" s="29">
        <v>-4332.0076020042325</v>
      </c>
      <c r="Q227" s="29">
        <f>P227-R227+4332</f>
        <v>-7.6020042324671522E-3</v>
      </c>
      <c r="R227" s="15">
        <v>0</v>
      </c>
      <c r="S227" s="15">
        <f t="shared" si="11"/>
        <v>-7.6020042324671522E-3</v>
      </c>
      <c r="T227" s="16"/>
      <c r="U227" s="16"/>
    </row>
    <row r="228" spans="1:21" x14ac:dyDescent="0.25">
      <c r="A228" s="16" t="s">
        <v>37</v>
      </c>
      <c r="B228" s="16" t="s">
        <v>257</v>
      </c>
      <c r="C228" s="16" t="s">
        <v>258</v>
      </c>
      <c r="D228" s="16" t="s">
        <v>100</v>
      </c>
      <c r="E228" s="16" t="s">
        <v>101</v>
      </c>
      <c r="F228" s="16" t="s">
        <v>152</v>
      </c>
      <c r="G228" s="16" t="s">
        <v>153</v>
      </c>
      <c r="H228" s="16" t="s">
        <v>85</v>
      </c>
      <c r="I228" s="16" t="s">
        <v>40</v>
      </c>
      <c r="J228" s="16" t="s">
        <v>38</v>
      </c>
      <c r="K228" s="16" t="s">
        <v>293</v>
      </c>
      <c r="L228" s="15">
        <v>-1481090.3239296242</v>
      </c>
      <c r="M228" s="15">
        <v>-235722.59876561217</v>
      </c>
      <c r="N228" s="15">
        <v>-964339.42451607459</v>
      </c>
      <c r="O228" s="15">
        <v>-516750.89941354992</v>
      </c>
      <c r="P228" s="15">
        <v>-516750.89941354992</v>
      </c>
      <c r="Q228" s="15">
        <f>P228-R228+P227</f>
        <v>-521082.90701555414</v>
      </c>
      <c r="R228" s="15">
        <v>0</v>
      </c>
      <c r="S228" s="15">
        <f t="shared" si="11"/>
        <v>-521082.90701555414</v>
      </c>
      <c r="T228" s="16"/>
      <c r="U228" s="26"/>
    </row>
    <row r="229" spans="1:21" x14ac:dyDescent="0.25">
      <c r="A229" s="16" t="s">
        <v>37</v>
      </c>
      <c r="B229" s="16" t="s">
        <v>257</v>
      </c>
      <c r="C229" s="16" t="s">
        <v>258</v>
      </c>
      <c r="D229" s="16" t="s">
        <v>100</v>
      </c>
      <c r="E229" s="16" t="s">
        <v>101</v>
      </c>
      <c r="F229" s="16" t="s">
        <v>152</v>
      </c>
      <c r="G229" s="16" t="s">
        <v>153</v>
      </c>
      <c r="H229" s="16" t="s">
        <v>85</v>
      </c>
      <c r="I229" s="16" t="s">
        <v>40</v>
      </c>
      <c r="J229" s="16" t="s">
        <v>142</v>
      </c>
      <c r="K229" s="16" t="s">
        <v>143</v>
      </c>
      <c r="L229" s="15">
        <v>-4258.0300000000007</v>
      </c>
      <c r="M229" s="15">
        <v>0</v>
      </c>
      <c r="N229" s="15">
        <v>0</v>
      </c>
      <c r="O229" s="15">
        <v>-4258.0300000000007</v>
      </c>
      <c r="P229" s="15">
        <v>-4258.0300000000007</v>
      </c>
      <c r="Q229" s="15">
        <f t="shared" si="10"/>
        <v>-4258.0300000000007</v>
      </c>
      <c r="R229" s="15">
        <v>0</v>
      </c>
      <c r="S229" s="15">
        <f t="shared" si="11"/>
        <v>-4258.0300000000007</v>
      </c>
      <c r="T229" s="16"/>
      <c r="U229" s="26"/>
    </row>
    <row r="230" spans="1:21" x14ac:dyDescent="0.25">
      <c r="A230" s="16" t="s">
        <v>37</v>
      </c>
      <c r="B230" s="16" t="s">
        <v>269</v>
      </c>
      <c r="C230" s="16" t="s">
        <v>270</v>
      </c>
      <c r="D230" s="16" t="s">
        <v>100</v>
      </c>
      <c r="E230" s="16" t="s">
        <v>101</v>
      </c>
      <c r="F230" s="16" t="s">
        <v>152</v>
      </c>
      <c r="G230" s="16" t="s">
        <v>153</v>
      </c>
      <c r="H230" s="16" t="s">
        <v>85</v>
      </c>
      <c r="I230" s="16" t="s">
        <v>40</v>
      </c>
      <c r="J230" s="16" t="s">
        <v>130</v>
      </c>
      <c r="K230" s="16" t="s">
        <v>131</v>
      </c>
      <c r="L230" s="15">
        <v>-11544.270000039858</v>
      </c>
      <c r="M230" s="15">
        <v>-11544.270000039858</v>
      </c>
      <c r="N230" s="15">
        <v>0</v>
      </c>
      <c r="O230" s="15">
        <v>-11544.270000039858</v>
      </c>
      <c r="P230" s="15">
        <v>-11544.270000039858</v>
      </c>
      <c r="Q230" s="15">
        <f t="shared" si="10"/>
        <v>-11544.270000039858</v>
      </c>
      <c r="R230" s="15">
        <v>0</v>
      </c>
      <c r="S230" s="15">
        <f t="shared" si="11"/>
        <v>-11544.270000039858</v>
      </c>
      <c r="T230" s="16"/>
      <c r="U230" s="16"/>
    </row>
    <row r="231" spans="1:21" x14ac:dyDescent="0.25">
      <c r="A231" s="16" t="s">
        <v>37</v>
      </c>
      <c r="B231" s="16" t="s">
        <v>257</v>
      </c>
      <c r="C231" s="16" t="s">
        <v>258</v>
      </c>
      <c r="D231" s="16" t="s">
        <v>100</v>
      </c>
      <c r="E231" s="16" t="s">
        <v>101</v>
      </c>
      <c r="F231" s="16" t="s">
        <v>152</v>
      </c>
      <c r="G231" s="16" t="s">
        <v>153</v>
      </c>
      <c r="H231" s="16" t="s">
        <v>85</v>
      </c>
      <c r="I231" s="16" t="s">
        <v>40</v>
      </c>
      <c r="J231" s="16" t="s">
        <v>296</v>
      </c>
      <c r="K231" s="16" t="s">
        <v>297</v>
      </c>
      <c r="L231" s="15">
        <v>-839.23499958699995</v>
      </c>
      <c r="M231" s="15">
        <v>0</v>
      </c>
      <c r="N231" s="15">
        <v>-838.79391599999997</v>
      </c>
      <c r="O231" s="15">
        <v>-0.44108358699994454</v>
      </c>
      <c r="P231" s="15">
        <v>-0.44108358699994454</v>
      </c>
      <c r="Q231" s="15">
        <f t="shared" si="10"/>
        <v>-0.44108358699994454</v>
      </c>
      <c r="R231" s="15">
        <v>0</v>
      </c>
      <c r="S231" s="15">
        <f t="shared" si="11"/>
        <v>-0.44108358699994454</v>
      </c>
      <c r="T231" s="16"/>
      <c r="U231" s="26"/>
    </row>
    <row r="232" spans="1:21" x14ac:dyDescent="0.25">
      <c r="A232" s="16" t="s">
        <v>37</v>
      </c>
      <c r="B232" s="16" t="s">
        <v>269</v>
      </c>
      <c r="C232" s="16" t="s">
        <v>270</v>
      </c>
      <c r="D232" s="16" t="s">
        <v>100</v>
      </c>
      <c r="E232" s="16" t="s">
        <v>101</v>
      </c>
      <c r="F232" s="16" t="s">
        <v>152</v>
      </c>
      <c r="G232" s="16" t="s">
        <v>153</v>
      </c>
      <c r="H232" s="16" t="s">
        <v>85</v>
      </c>
      <c r="I232" s="16" t="s">
        <v>40</v>
      </c>
      <c r="J232" s="16" t="s">
        <v>124</v>
      </c>
      <c r="K232" s="16" t="s">
        <v>125</v>
      </c>
      <c r="L232" s="15">
        <v>-949.80248149742965</v>
      </c>
      <c r="M232" s="15">
        <v>0</v>
      </c>
      <c r="N232" s="15">
        <v>-673.51999999999941</v>
      </c>
      <c r="O232" s="15">
        <v>-276.2824814974303</v>
      </c>
      <c r="P232" s="15">
        <v>0</v>
      </c>
      <c r="Q232" s="15">
        <f t="shared" si="10"/>
        <v>0</v>
      </c>
      <c r="R232" s="15">
        <v>0</v>
      </c>
      <c r="S232" s="15">
        <f t="shared" si="11"/>
        <v>0</v>
      </c>
      <c r="T232" s="16"/>
      <c r="U232" s="16"/>
    </row>
    <row r="233" spans="1:21" x14ac:dyDescent="0.25">
      <c r="A233" s="16" t="s">
        <v>37</v>
      </c>
      <c r="B233" s="16" t="s">
        <v>265</v>
      </c>
      <c r="C233" s="16" t="s">
        <v>266</v>
      </c>
      <c r="D233" s="16" t="s">
        <v>100</v>
      </c>
      <c r="E233" s="16" t="s">
        <v>101</v>
      </c>
      <c r="F233" s="16" t="s">
        <v>152</v>
      </c>
      <c r="G233" s="16" t="s">
        <v>153</v>
      </c>
      <c r="H233" s="16" t="s">
        <v>85</v>
      </c>
      <c r="I233" s="16" t="s">
        <v>40</v>
      </c>
      <c r="J233" s="16" t="s">
        <v>124</v>
      </c>
      <c r="K233" s="16" t="s">
        <v>125</v>
      </c>
      <c r="L233" s="15">
        <v>-163562.81998895991</v>
      </c>
      <c r="M233" s="15">
        <v>0</v>
      </c>
      <c r="N233" s="15">
        <v>-130944.6944789043</v>
      </c>
      <c r="O233" s="15">
        <v>-32618.125510055565</v>
      </c>
      <c r="P233" s="15">
        <v>0</v>
      </c>
      <c r="Q233" s="15">
        <f t="shared" si="10"/>
        <v>0</v>
      </c>
      <c r="R233" s="15">
        <v>0</v>
      </c>
      <c r="S233" s="15">
        <f t="shared" si="11"/>
        <v>0</v>
      </c>
      <c r="T233" s="16"/>
      <c r="U233" s="16"/>
    </row>
    <row r="234" spans="1:21" x14ac:dyDescent="0.25">
      <c r="A234" s="16" t="s">
        <v>37</v>
      </c>
      <c r="B234" s="16" t="s">
        <v>261</v>
      </c>
      <c r="C234" s="16" t="s">
        <v>262</v>
      </c>
      <c r="D234" s="16" t="s">
        <v>100</v>
      </c>
      <c r="E234" s="16" t="s">
        <v>101</v>
      </c>
      <c r="F234" s="16" t="s">
        <v>152</v>
      </c>
      <c r="G234" s="16" t="s">
        <v>153</v>
      </c>
      <c r="H234" s="16" t="s">
        <v>85</v>
      </c>
      <c r="I234" s="16" t="s">
        <v>40</v>
      </c>
      <c r="J234" s="16" t="s">
        <v>124</v>
      </c>
      <c r="K234" s="16" t="s">
        <v>125</v>
      </c>
      <c r="L234" s="15">
        <v>-29334.954480409997</v>
      </c>
      <c r="M234" s="15">
        <v>0</v>
      </c>
      <c r="N234" s="15">
        <v>-26894.852676074399</v>
      </c>
      <c r="O234" s="15">
        <v>-2440.1018043355971</v>
      </c>
      <c r="P234" s="15">
        <v>0</v>
      </c>
      <c r="Q234" s="15">
        <f t="shared" si="10"/>
        <v>0</v>
      </c>
      <c r="R234" s="15">
        <v>0</v>
      </c>
      <c r="S234" s="15">
        <f t="shared" si="11"/>
        <v>0</v>
      </c>
      <c r="T234" s="16"/>
      <c r="U234" s="16"/>
    </row>
    <row r="235" spans="1:21" x14ac:dyDescent="0.25">
      <c r="A235" s="16" t="s">
        <v>37</v>
      </c>
      <c r="B235" s="16" t="s">
        <v>257</v>
      </c>
      <c r="C235" s="16" t="s">
        <v>258</v>
      </c>
      <c r="D235" s="16" t="s">
        <v>100</v>
      </c>
      <c r="E235" s="16" t="s">
        <v>101</v>
      </c>
      <c r="F235" s="16" t="s">
        <v>152</v>
      </c>
      <c r="G235" s="16" t="s">
        <v>153</v>
      </c>
      <c r="H235" s="16" t="s">
        <v>85</v>
      </c>
      <c r="I235" s="16" t="s">
        <v>40</v>
      </c>
      <c r="J235" s="16" t="s">
        <v>124</v>
      </c>
      <c r="K235" s="16" t="s">
        <v>125</v>
      </c>
      <c r="L235" s="15">
        <v>-64.138899999999992</v>
      </c>
      <c r="M235" s="15">
        <v>0</v>
      </c>
      <c r="N235" s="15">
        <v>-48.544533999999999</v>
      </c>
      <c r="O235" s="15">
        <v>-15.594365999999994</v>
      </c>
      <c r="P235" s="15">
        <v>0</v>
      </c>
      <c r="Q235" s="15">
        <f t="shared" si="10"/>
        <v>0</v>
      </c>
      <c r="R235" s="15">
        <v>0</v>
      </c>
      <c r="S235" s="15">
        <f t="shared" si="11"/>
        <v>0</v>
      </c>
      <c r="T235" s="16"/>
      <c r="U235" s="26"/>
    </row>
    <row r="236" spans="1:21" x14ac:dyDescent="0.25">
      <c r="A236" s="16" t="s">
        <v>37</v>
      </c>
      <c r="B236" s="16" t="s">
        <v>257</v>
      </c>
      <c r="C236" s="16" t="s">
        <v>258</v>
      </c>
      <c r="D236" s="16" t="s">
        <v>100</v>
      </c>
      <c r="E236" s="16" t="s">
        <v>101</v>
      </c>
      <c r="F236" s="16" t="s">
        <v>152</v>
      </c>
      <c r="G236" s="16" t="s">
        <v>153</v>
      </c>
      <c r="H236" s="16" t="s">
        <v>85</v>
      </c>
      <c r="I236" s="16" t="s">
        <v>40</v>
      </c>
      <c r="J236" s="16" t="s">
        <v>298</v>
      </c>
      <c r="K236" s="16" t="s">
        <v>299</v>
      </c>
      <c r="L236" s="15">
        <v>-7148.0240792800014</v>
      </c>
      <c r="M236" s="15">
        <v>-292.65119700000008</v>
      </c>
      <c r="N236" s="15">
        <v>-4536.3700868264004</v>
      </c>
      <c r="O236" s="15">
        <v>-2611.6539924536009</v>
      </c>
      <c r="P236" s="15">
        <v>-2611.6539924536009</v>
      </c>
      <c r="Q236" s="15">
        <f t="shared" si="10"/>
        <v>-2611.6539924536009</v>
      </c>
      <c r="R236" s="15">
        <v>0</v>
      </c>
      <c r="S236" s="15">
        <f t="shared" si="11"/>
        <v>-2611.6539924536009</v>
      </c>
      <c r="T236" s="16"/>
      <c r="U236" s="26"/>
    </row>
    <row r="237" spans="1:21" x14ac:dyDescent="0.25">
      <c r="A237" s="16" t="s">
        <v>37</v>
      </c>
      <c r="B237" s="16" t="s">
        <v>269</v>
      </c>
      <c r="C237" s="16" t="s">
        <v>270</v>
      </c>
      <c r="D237" s="16" t="s">
        <v>100</v>
      </c>
      <c r="E237" s="16" t="s">
        <v>101</v>
      </c>
      <c r="F237" s="16" t="s">
        <v>152</v>
      </c>
      <c r="G237" s="16" t="s">
        <v>153</v>
      </c>
      <c r="H237" s="16" t="s">
        <v>85</v>
      </c>
      <c r="I237" s="16" t="s">
        <v>40</v>
      </c>
      <c r="J237" s="16" t="s">
        <v>132</v>
      </c>
      <c r="K237" s="16" t="s">
        <v>133</v>
      </c>
      <c r="L237" s="15">
        <v>-29384.672839481922</v>
      </c>
      <c r="M237" s="15">
        <v>-29384.672839481922</v>
      </c>
      <c r="N237" s="15">
        <v>-29384.669994641008</v>
      </c>
      <c r="O237" s="15">
        <v>-2.8448409150314546E-3</v>
      </c>
      <c r="P237" s="15">
        <v>0</v>
      </c>
      <c r="Q237" s="15">
        <f t="shared" si="10"/>
        <v>0</v>
      </c>
      <c r="R237" s="15">
        <v>0</v>
      </c>
      <c r="S237" s="15">
        <f t="shared" si="11"/>
        <v>0</v>
      </c>
      <c r="T237" s="16"/>
      <c r="U237" s="16"/>
    </row>
    <row r="238" spans="1:21" x14ac:dyDescent="0.25">
      <c r="A238" s="16" t="s">
        <v>37</v>
      </c>
      <c r="B238" s="16" t="s">
        <v>269</v>
      </c>
      <c r="C238" s="16" t="s">
        <v>270</v>
      </c>
      <c r="D238" s="16" t="s">
        <v>100</v>
      </c>
      <c r="E238" s="16" t="s">
        <v>101</v>
      </c>
      <c r="F238" s="16" t="s">
        <v>152</v>
      </c>
      <c r="G238" s="16" t="s">
        <v>153</v>
      </c>
      <c r="H238" s="16" t="s">
        <v>85</v>
      </c>
      <c r="I238" s="16" t="s">
        <v>40</v>
      </c>
      <c r="J238" s="16" t="s">
        <v>64</v>
      </c>
      <c r="K238" s="16" t="s">
        <v>65</v>
      </c>
      <c r="L238" s="15">
        <v>-96748.544027452706</v>
      </c>
      <c r="M238" s="15">
        <v>0</v>
      </c>
      <c r="N238" s="15">
        <v>-50539.279919915512</v>
      </c>
      <c r="O238" s="15">
        <v>-46209.264107537194</v>
      </c>
      <c r="P238" s="15">
        <v>-46209.264107537194</v>
      </c>
      <c r="Q238" s="15">
        <f t="shared" si="10"/>
        <v>-46209.264107537194</v>
      </c>
      <c r="R238" s="15">
        <v>0</v>
      </c>
      <c r="S238" s="15">
        <f t="shared" si="11"/>
        <v>-46209.264107537194</v>
      </c>
      <c r="T238" s="16"/>
      <c r="U238" s="16"/>
    </row>
    <row r="239" spans="1:21" x14ac:dyDescent="0.25">
      <c r="A239" s="16" t="s">
        <v>37</v>
      </c>
      <c r="B239" s="16" t="s">
        <v>269</v>
      </c>
      <c r="C239" s="16" t="s">
        <v>270</v>
      </c>
      <c r="D239" s="16" t="s">
        <v>100</v>
      </c>
      <c r="E239" s="16" t="s">
        <v>101</v>
      </c>
      <c r="F239" s="16" t="s">
        <v>152</v>
      </c>
      <c r="G239" s="16" t="s">
        <v>153</v>
      </c>
      <c r="H239" s="16" t="s">
        <v>85</v>
      </c>
      <c r="I239" s="16" t="s">
        <v>40</v>
      </c>
      <c r="J239" s="16" t="s">
        <v>66</v>
      </c>
      <c r="K239" s="16" t="s">
        <v>63</v>
      </c>
      <c r="L239" s="15">
        <v>-82361.824552931721</v>
      </c>
      <c r="M239" s="15">
        <v>-82361.824552931721</v>
      </c>
      <c r="N239" s="15">
        <v>-82361.829930164589</v>
      </c>
      <c r="O239" s="15">
        <v>5.3772328683407977E-3</v>
      </c>
      <c r="P239" s="15">
        <v>0</v>
      </c>
      <c r="Q239" s="15">
        <f t="shared" si="10"/>
        <v>0</v>
      </c>
      <c r="R239" s="15">
        <v>0</v>
      </c>
      <c r="S239" s="15">
        <f t="shared" si="11"/>
        <v>0</v>
      </c>
      <c r="T239" s="16"/>
      <c r="U239" s="16"/>
    </row>
    <row r="240" spans="1:21" x14ac:dyDescent="0.25">
      <c r="A240" s="16" t="s">
        <v>37</v>
      </c>
      <c r="B240" s="16" t="s">
        <v>257</v>
      </c>
      <c r="C240" s="16" t="s">
        <v>258</v>
      </c>
      <c r="D240" s="16" t="s">
        <v>100</v>
      </c>
      <c r="E240" s="16" t="s">
        <v>101</v>
      </c>
      <c r="F240" s="16" t="s">
        <v>152</v>
      </c>
      <c r="G240" s="16" t="s">
        <v>153</v>
      </c>
      <c r="H240" s="16" t="s">
        <v>85</v>
      </c>
      <c r="I240" s="16" t="s">
        <v>40</v>
      </c>
      <c r="J240" s="16" t="s">
        <v>67</v>
      </c>
      <c r="K240" s="16" t="s">
        <v>68</v>
      </c>
      <c r="L240" s="15">
        <v>-4050</v>
      </c>
      <c r="M240" s="15">
        <v>0</v>
      </c>
      <c r="N240" s="15">
        <v>0</v>
      </c>
      <c r="O240" s="15">
        <v>-4050</v>
      </c>
      <c r="P240" s="15">
        <v>-4050</v>
      </c>
      <c r="Q240" s="15">
        <f t="shared" si="10"/>
        <v>-4050</v>
      </c>
      <c r="R240" s="15">
        <v>0</v>
      </c>
      <c r="S240" s="15">
        <f t="shared" si="11"/>
        <v>-4050</v>
      </c>
      <c r="T240" s="16"/>
      <c r="U240" s="26"/>
    </row>
    <row r="241" spans="1:21" x14ac:dyDescent="0.25">
      <c r="A241" s="16" t="s">
        <v>37</v>
      </c>
      <c r="B241" s="16" t="s">
        <v>269</v>
      </c>
      <c r="C241" s="16" t="s">
        <v>270</v>
      </c>
      <c r="D241" s="16" t="s">
        <v>100</v>
      </c>
      <c r="E241" s="16" t="s">
        <v>101</v>
      </c>
      <c r="F241" s="16" t="s">
        <v>152</v>
      </c>
      <c r="G241" s="16" t="s">
        <v>153</v>
      </c>
      <c r="H241" s="16" t="s">
        <v>85</v>
      </c>
      <c r="I241" s="16" t="s">
        <v>40</v>
      </c>
      <c r="J241" s="16" t="s">
        <v>69</v>
      </c>
      <c r="K241" s="16" t="s">
        <v>70</v>
      </c>
      <c r="L241" s="15">
        <v>-4559.4121186661223</v>
      </c>
      <c r="M241" s="15">
        <v>-4559.4121186661223</v>
      </c>
      <c r="N241" s="15">
        <v>-4559.3999919094931</v>
      </c>
      <c r="O241" s="15">
        <v>-1.2126756629015745E-2</v>
      </c>
      <c r="P241" s="15">
        <v>0</v>
      </c>
      <c r="Q241" s="15">
        <f t="shared" si="10"/>
        <v>0</v>
      </c>
      <c r="R241" s="15">
        <v>0</v>
      </c>
      <c r="S241" s="15">
        <f t="shared" si="11"/>
        <v>0</v>
      </c>
      <c r="T241" s="16"/>
      <c r="U241" s="15">
        <f t="shared" ref="U241:U243" si="14">O241</f>
        <v>-1.2126756629015745E-2</v>
      </c>
    </row>
    <row r="242" spans="1:21" x14ac:dyDescent="0.25">
      <c r="A242" s="16" t="s">
        <v>37</v>
      </c>
      <c r="B242" s="16" t="s">
        <v>261</v>
      </c>
      <c r="C242" s="16" t="s">
        <v>262</v>
      </c>
      <c r="D242" s="16" t="s">
        <v>100</v>
      </c>
      <c r="E242" s="16" t="s">
        <v>101</v>
      </c>
      <c r="F242" s="16" t="s">
        <v>152</v>
      </c>
      <c r="G242" s="16" t="s">
        <v>153</v>
      </c>
      <c r="H242" s="16" t="s">
        <v>85</v>
      </c>
      <c r="I242" s="16" t="s">
        <v>40</v>
      </c>
      <c r="J242" s="16" t="s">
        <v>69</v>
      </c>
      <c r="K242" s="16" t="s">
        <v>70</v>
      </c>
      <c r="L242" s="15">
        <v>-2614.499999441</v>
      </c>
      <c r="M242" s="15">
        <v>-2614.5</v>
      </c>
      <c r="N242" s="15">
        <v>-2792.2287000000001</v>
      </c>
      <c r="O242" s="15">
        <v>177.72870055899989</v>
      </c>
      <c r="P242" s="15">
        <v>0</v>
      </c>
      <c r="Q242" s="15">
        <f t="shared" si="10"/>
        <v>0</v>
      </c>
      <c r="R242" s="15">
        <v>0</v>
      </c>
      <c r="S242" s="15">
        <f t="shared" si="11"/>
        <v>0</v>
      </c>
      <c r="T242" s="16"/>
      <c r="U242" s="15">
        <f t="shared" si="14"/>
        <v>177.72870055899989</v>
      </c>
    </row>
    <row r="243" spans="1:21" x14ac:dyDescent="0.25">
      <c r="A243" s="16" t="s">
        <v>37</v>
      </c>
      <c r="B243" s="16" t="s">
        <v>257</v>
      </c>
      <c r="C243" s="16" t="s">
        <v>258</v>
      </c>
      <c r="D243" s="16" t="s">
        <v>100</v>
      </c>
      <c r="E243" s="16" t="s">
        <v>101</v>
      </c>
      <c r="F243" s="16" t="s">
        <v>152</v>
      </c>
      <c r="G243" s="16" t="s">
        <v>153</v>
      </c>
      <c r="H243" s="16" t="s">
        <v>85</v>
      </c>
      <c r="I243" s="16" t="s">
        <v>40</v>
      </c>
      <c r="J243" s="16" t="s">
        <v>69</v>
      </c>
      <c r="K243" s="16" t="s">
        <v>70</v>
      </c>
      <c r="L243" s="15">
        <v>-2699.5509870000001</v>
      </c>
      <c r="M243" s="15">
        <v>-2699.5509870000001</v>
      </c>
      <c r="N243" s="15">
        <v>-2665.3856373899998</v>
      </c>
      <c r="O243" s="15">
        <v>-34.165349610000249</v>
      </c>
      <c r="P243" s="15">
        <v>0</v>
      </c>
      <c r="Q243" s="15">
        <f t="shared" si="10"/>
        <v>0</v>
      </c>
      <c r="R243" s="15">
        <v>0</v>
      </c>
      <c r="S243" s="15">
        <f t="shared" si="11"/>
        <v>0</v>
      </c>
      <c r="T243" s="16"/>
      <c r="U243" s="15">
        <f t="shared" si="14"/>
        <v>-34.165349610000249</v>
      </c>
    </row>
    <row r="244" spans="1:21" x14ac:dyDescent="0.25">
      <c r="A244" s="16" t="s">
        <v>37</v>
      </c>
      <c r="B244" s="16" t="s">
        <v>257</v>
      </c>
      <c r="C244" s="16" t="s">
        <v>258</v>
      </c>
      <c r="D244" s="16" t="s">
        <v>100</v>
      </c>
      <c r="E244" s="16" t="s">
        <v>101</v>
      </c>
      <c r="F244" s="16" t="s">
        <v>152</v>
      </c>
      <c r="G244" s="16" t="s">
        <v>153</v>
      </c>
      <c r="H244" s="16" t="s">
        <v>85</v>
      </c>
      <c r="I244" s="16" t="s">
        <v>40</v>
      </c>
      <c r="J244" s="16" t="s">
        <v>136</v>
      </c>
      <c r="K244" s="16" t="s">
        <v>137</v>
      </c>
      <c r="L244" s="15">
        <v>-19447.700000000012</v>
      </c>
      <c r="M244" s="15">
        <v>0</v>
      </c>
      <c r="N244" s="15">
        <v>-19447.7</v>
      </c>
      <c r="O244" s="15">
        <v>-1.0913936421275139E-11</v>
      </c>
      <c r="P244" s="15">
        <v>-1.0913936421275139E-11</v>
      </c>
      <c r="Q244" s="15">
        <f t="shared" si="10"/>
        <v>-1.0913936421275139E-11</v>
      </c>
      <c r="R244" s="15">
        <v>0</v>
      </c>
      <c r="S244" s="15">
        <f t="shared" si="11"/>
        <v>-1.0913936421275139E-11</v>
      </c>
      <c r="T244" s="16"/>
      <c r="U244" s="26"/>
    </row>
    <row r="245" spans="1:21" x14ac:dyDescent="0.25">
      <c r="A245" s="16" t="s">
        <v>37</v>
      </c>
      <c r="B245" s="16" t="s">
        <v>265</v>
      </c>
      <c r="C245" s="16" t="s">
        <v>266</v>
      </c>
      <c r="D245" s="16" t="s">
        <v>100</v>
      </c>
      <c r="E245" s="16" t="s">
        <v>101</v>
      </c>
      <c r="F245" s="16" t="s">
        <v>152</v>
      </c>
      <c r="G245" s="16" t="s">
        <v>153</v>
      </c>
      <c r="H245" s="16" t="s">
        <v>85</v>
      </c>
      <c r="I245" s="16" t="s">
        <v>40</v>
      </c>
      <c r="J245" s="16" t="s">
        <v>138</v>
      </c>
      <c r="K245" s="16" t="s">
        <v>139</v>
      </c>
      <c r="L245" s="15">
        <v>-1807.1536417918308</v>
      </c>
      <c r="M245" s="15">
        <v>0</v>
      </c>
      <c r="N245" s="15">
        <v>-1807.1536417918298</v>
      </c>
      <c r="O245" s="15">
        <v>-9.0949470177292824E-13</v>
      </c>
      <c r="P245" s="15">
        <v>0</v>
      </c>
      <c r="Q245" s="15">
        <f t="shared" si="10"/>
        <v>0</v>
      </c>
      <c r="R245" s="15">
        <v>0</v>
      </c>
      <c r="S245" s="15">
        <f t="shared" si="11"/>
        <v>0</v>
      </c>
      <c r="T245" s="16"/>
      <c r="U245" s="16"/>
    </row>
    <row r="246" spans="1:21" x14ac:dyDescent="0.25">
      <c r="A246" s="28" t="s">
        <v>37</v>
      </c>
      <c r="B246" s="28" t="s">
        <v>269</v>
      </c>
      <c r="C246" s="28" t="s">
        <v>270</v>
      </c>
      <c r="D246" s="28" t="s">
        <v>100</v>
      </c>
      <c r="E246" s="28" t="s">
        <v>101</v>
      </c>
      <c r="F246" s="28" t="s">
        <v>154</v>
      </c>
      <c r="G246" s="28" t="s">
        <v>155</v>
      </c>
      <c r="H246" s="28" t="s">
        <v>85</v>
      </c>
      <c r="I246" s="28" t="s">
        <v>40</v>
      </c>
      <c r="J246" s="28" t="s">
        <v>38</v>
      </c>
      <c r="K246" s="28" t="s">
        <v>293</v>
      </c>
      <c r="L246" s="29">
        <v>-86658.365151378821</v>
      </c>
      <c r="M246" s="29">
        <v>-3503.535052115159</v>
      </c>
      <c r="N246" s="29">
        <v>-408288.65795245121</v>
      </c>
      <c r="O246" s="29">
        <v>321630.29280107241</v>
      </c>
      <c r="P246" s="29">
        <f>O246</f>
        <v>321630.29280107241</v>
      </c>
      <c r="Q246" s="29">
        <f>P246-R246-321630</f>
        <v>0.29280107241356745</v>
      </c>
      <c r="R246" s="15">
        <v>0</v>
      </c>
      <c r="S246" s="15">
        <f t="shared" si="11"/>
        <v>0.29280107241356745</v>
      </c>
      <c r="T246" s="16"/>
      <c r="U246" s="16"/>
    </row>
    <row r="247" spans="1:21" x14ac:dyDescent="0.25">
      <c r="A247" s="16" t="s">
        <v>37</v>
      </c>
      <c r="B247" s="16" t="s">
        <v>265</v>
      </c>
      <c r="C247" s="16" t="s">
        <v>266</v>
      </c>
      <c r="D247" s="16" t="s">
        <v>100</v>
      </c>
      <c r="E247" s="16" t="s">
        <v>101</v>
      </c>
      <c r="F247" s="16" t="s">
        <v>154</v>
      </c>
      <c r="G247" s="16" t="s">
        <v>155</v>
      </c>
      <c r="H247" s="16" t="s">
        <v>85</v>
      </c>
      <c r="I247" s="16" t="s">
        <v>40</v>
      </c>
      <c r="J247" s="16" t="s">
        <v>38</v>
      </c>
      <c r="K247" s="16" t="s">
        <v>293</v>
      </c>
      <c r="L247" s="15">
        <v>-697147.87575117289</v>
      </c>
      <c r="M247" s="15">
        <v>-28966.430014729529</v>
      </c>
      <c r="N247" s="15">
        <v>-626978.41997836158</v>
      </c>
      <c r="O247" s="15">
        <v>-70169.455772811198</v>
      </c>
      <c r="P247" s="15">
        <v>-70169.455772811198</v>
      </c>
      <c r="Q247" s="15">
        <f t="shared" si="10"/>
        <v>-70169.455772811198</v>
      </c>
      <c r="R247" s="15">
        <v>0</v>
      </c>
      <c r="S247" s="15">
        <f t="shared" si="11"/>
        <v>-70169.455772811198</v>
      </c>
      <c r="T247" s="16"/>
      <c r="U247" s="16"/>
    </row>
    <row r="248" spans="1:21" x14ac:dyDescent="0.25">
      <c r="A248" s="16" t="s">
        <v>37</v>
      </c>
      <c r="B248" s="16" t="s">
        <v>257</v>
      </c>
      <c r="C248" s="16" t="s">
        <v>258</v>
      </c>
      <c r="D248" s="16" t="s">
        <v>100</v>
      </c>
      <c r="E248" s="16" t="s">
        <v>101</v>
      </c>
      <c r="F248" s="16" t="s">
        <v>154</v>
      </c>
      <c r="G248" s="16" t="s">
        <v>155</v>
      </c>
      <c r="H248" s="16" t="s">
        <v>85</v>
      </c>
      <c r="I248" s="16" t="s">
        <v>40</v>
      </c>
      <c r="J248" s="16" t="s">
        <v>38</v>
      </c>
      <c r="K248" s="16" t="s">
        <v>293</v>
      </c>
      <c r="L248" s="15">
        <v>-957579.32928723749</v>
      </c>
      <c r="M248" s="15">
        <v>-262239.11455835158</v>
      </c>
      <c r="N248" s="15">
        <v>-480185.19574151246</v>
      </c>
      <c r="O248" s="15">
        <v>-477394.13354572485</v>
      </c>
      <c r="P248" s="15">
        <v>-477394.13354572485</v>
      </c>
      <c r="Q248" s="15">
        <f>P248-R248+P246</f>
        <v>-155763.84074465244</v>
      </c>
      <c r="R248" s="15">
        <v>0</v>
      </c>
      <c r="S248" s="15">
        <f t="shared" si="11"/>
        <v>-155763.84074465244</v>
      </c>
      <c r="T248" s="16"/>
      <c r="U248" s="26"/>
    </row>
    <row r="249" spans="1:21" x14ac:dyDescent="0.25">
      <c r="A249" s="16" t="s">
        <v>37</v>
      </c>
      <c r="B249" s="16" t="s">
        <v>257</v>
      </c>
      <c r="C249" s="16" t="s">
        <v>258</v>
      </c>
      <c r="D249" s="16" t="s">
        <v>100</v>
      </c>
      <c r="E249" s="16" t="s">
        <v>101</v>
      </c>
      <c r="F249" s="16" t="s">
        <v>154</v>
      </c>
      <c r="G249" s="16" t="s">
        <v>155</v>
      </c>
      <c r="H249" s="16" t="s">
        <v>85</v>
      </c>
      <c r="I249" s="16" t="s">
        <v>40</v>
      </c>
      <c r="J249" s="16" t="s">
        <v>142</v>
      </c>
      <c r="K249" s="16" t="s">
        <v>143</v>
      </c>
      <c r="L249" s="15">
        <v>-4258.0300000000007</v>
      </c>
      <c r="M249" s="15">
        <v>0</v>
      </c>
      <c r="N249" s="15">
        <v>0</v>
      </c>
      <c r="O249" s="15">
        <v>-4258.0300000000007</v>
      </c>
      <c r="P249" s="15">
        <v>-4258.0300000000007</v>
      </c>
      <c r="Q249" s="15">
        <f t="shared" si="10"/>
        <v>-4258.0300000000007</v>
      </c>
      <c r="R249" s="15">
        <v>0</v>
      </c>
      <c r="S249" s="15">
        <f t="shared" si="11"/>
        <v>-4258.0300000000007</v>
      </c>
      <c r="T249" s="16"/>
      <c r="U249" s="26"/>
    </row>
    <row r="250" spans="1:21" x14ac:dyDescent="0.25">
      <c r="A250" s="16" t="s">
        <v>37</v>
      </c>
      <c r="B250" s="16" t="s">
        <v>269</v>
      </c>
      <c r="C250" s="16" t="s">
        <v>270</v>
      </c>
      <c r="D250" s="16" t="s">
        <v>100</v>
      </c>
      <c r="E250" s="16" t="s">
        <v>101</v>
      </c>
      <c r="F250" s="16" t="s">
        <v>154</v>
      </c>
      <c r="G250" s="16" t="s">
        <v>155</v>
      </c>
      <c r="H250" s="16" t="s">
        <v>85</v>
      </c>
      <c r="I250" s="16" t="s">
        <v>40</v>
      </c>
      <c r="J250" s="16" t="s">
        <v>130</v>
      </c>
      <c r="K250" s="16" t="s">
        <v>131</v>
      </c>
      <c r="L250" s="15">
        <v>-3948.6800000136336</v>
      </c>
      <c r="M250" s="15">
        <v>-3948.6800000136336</v>
      </c>
      <c r="N250" s="15">
        <v>0</v>
      </c>
      <c r="O250" s="15">
        <v>-3948.6800000136336</v>
      </c>
      <c r="P250" s="15">
        <v>-3948.6800000136336</v>
      </c>
      <c r="Q250" s="15">
        <f t="shared" si="10"/>
        <v>-3948.6800000136336</v>
      </c>
      <c r="R250" s="15">
        <v>0</v>
      </c>
      <c r="S250" s="15">
        <f t="shared" si="11"/>
        <v>-3948.6800000136336</v>
      </c>
      <c r="T250" s="16"/>
      <c r="U250" s="16"/>
    </row>
    <row r="251" spans="1:21" x14ac:dyDescent="0.25">
      <c r="A251" s="16" t="s">
        <v>37</v>
      </c>
      <c r="B251" s="16" t="s">
        <v>257</v>
      </c>
      <c r="C251" s="16" t="s">
        <v>258</v>
      </c>
      <c r="D251" s="16" t="s">
        <v>100</v>
      </c>
      <c r="E251" s="16" t="s">
        <v>101</v>
      </c>
      <c r="F251" s="16" t="s">
        <v>154</v>
      </c>
      <c r="G251" s="16" t="s">
        <v>155</v>
      </c>
      <c r="H251" s="16" t="s">
        <v>85</v>
      </c>
      <c r="I251" s="16" t="s">
        <v>40</v>
      </c>
      <c r="J251" s="16" t="s">
        <v>296</v>
      </c>
      <c r="K251" s="16" t="s">
        <v>297</v>
      </c>
      <c r="L251" s="15">
        <v>-189.234999587</v>
      </c>
      <c r="M251" s="15">
        <v>0</v>
      </c>
      <c r="N251" s="15">
        <v>-188.793916</v>
      </c>
      <c r="O251" s="15">
        <v>-0.44108358699998007</v>
      </c>
      <c r="P251" s="15">
        <v>-0.44108358699998007</v>
      </c>
      <c r="Q251" s="15">
        <f t="shared" si="10"/>
        <v>-0.44108358699998007</v>
      </c>
      <c r="R251" s="15">
        <v>0</v>
      </c>
      <c r="S251" s="15">
        <f t="shared" si="11"/>
        <v>-0.44108358699998007</v>
      </c>
      <c r="T251" s="16"/>
      <c r="U251" s="26"/>
    </row>
    <row r="252" spans="1:21" x14ac:dyDescent="0.25">
      <c r="A252" s="16" t="s">
        <v>37</v>
      </c>
      <c r="B252" s="16" t="s">
        <v>265</v>
      </c>
      <c r="C252" s="16" t="s">
        <v>266</v>
      </c>
      <c r="D252" s="16" t="s">
        <v>100</v>
      </c>
      <c r="E252" s="16" t="s">
        <v>101</v>
      </c>
      <c r="F252" s="16" t="s">
        <v>154</v>
      </c>
      <c r="G252" s="16" t="s">
        <v>155</v>
      </c>
      <c r="H252" s="16" t="s">
        <v>85</v>
      </c>
      <c r="I252" s="16" t="s">
        <v>40</v>
      </c>
      <c r="J252" s="16" t="s">
        <v>124</v>
      </c>
      <c r="K252" s="16" t="s">
        <v>125</v>
      </c>
      <c r="L252" s="15">
        <v>-69079.998315229997</v>
      </c>
      <c r="M252" s="15">
        <v>0</v>
      </c>
      <c r="N252" s="15">
        <v>-55275.421564232209</v>
      </c>
      <c r="O252" s="15">
        <v>-13804.576750997776</v>
      </c>
      <c r="P252" s="15">
        <v>0</v>
      </c>
      <c r="Q252" s="15">
        <f t="shared" si="10"/>
        <v>0</v>
      </c>
      <c r="R252" s="15">
        <v>0</v>
      </c>
      <c r="S252" s="15">
        <f t="shared" si="11"/>
        <v>0</v>
      </c>
      <c r="T252" s="16"/>
      <c r="U252" s="16"/>
    </row>
    <row r="253" spans="1:21" x14ac:dyDescent="0.25">
      <c r="A253" s="16" t="s">
        <v>37</v>
      </c>
      <c r="B253" s="16" t="s">
        <v>257</v>
      </c>
      <c r="C253" s="16" t="s">
        <v>258</v>
      </c>
      <c r="D253" s="16" t="s">
        <v>100</v>
      </c>
      <c r="E253" s="16" t="s">
        <v>101</v>
      </c>
      <c r="F253" s="16" t="s">
        <v>154</v>
      </c>
      <c r="G253" s="16" t="s">
        <v>155</v>
      </c>
      <c r="H253" s="16" t="s">
        <v>85</v>
      </c>
      <c r="I253" s="16" t="s">
        <v>40</v>
      </c>
      <c r="J253" s="16" t="s">
        <v>124</v>
      </c>
      <c r="K253" s="16" t="s">
        <v>125</v>
      </c>
      <c r="L253" s="15">
        <v>-64.138899999999992</v>
      </c>
      <c r="M253" s="15">
        <v>0</v>
      </c>
      <c r="N253" s="15">
        <v>-48.544533999999999</v>
      </c>
      <c r="O253" s="15">
        <v>-15.594365999999994</v>
      </c>
      <c r="P253" s="15">
        <v>0</v>
      </c>
      <c r="Q253" s="15">
        <f t="shared" si="10"/>
        <v>0</v>
      </c>
      <c r="R253" s="15">
        <v>0</v>
      </c>
      <c r="S253" s="15">
        <f t="shared" si="11"/>
        <v>0</v>
      </c>
      <c r="T253" s="16"/>
      <c r="U253" s="26"/>
    </row>
    <row r="254" spans="1:21" x14ac:dyDescent="0.25">
      <c r="A254" s="16" t="s">
        <v>37</v>
      </c>
      <c r="B254" s="16" t="s">
        <v>269</v>
      </c>
      <c r="C254" s="16" t="s">
        <v>270</v>
      </c>
      <c r="D254" s="16" t="s">
        <v>100</v>
      </c>
      <c r="E254" s="16" t="s">
        <v>101</v>
      </c>
      <c r="F254" s="16" t="s">
        <v>154</v>
      </c>
      <c r="G254" s="16" t="s">
        <v>155</v>
      </c>
      <c r="H254" s="16" t="s">
        <v>85</v>
      </c>
      <c r="I254" s="16" t="s">
        <v>40</v>
      </c>
      <c r="J254" s="16" t="s">
        <v>124</v>
      </c>
      <c r="K254" s="16" t="s">
        <v>125</v>
      </c>
      <c r="L254" s="15">
        <v>-413.63184455046758</v>
      </c>
      <c r="M254" s="15">
        <v>0</v>
      </c>
      <c r="N254" s="15">
        <v>-298.69999999999976</v>
      </c>
      <c r="O254" s="15">
        <v>-114.93184455046796</v>
      </c>
      <c r="P254" s="15">
        <v>0</v>
      </c>
      <c r="Q254" s="15">
        <f t="shared" si="10"/>
        <v>0</v>
      </c>
      <c r="R254" s="15">
        <v>0</v>
      </c>
      <c r="S254" s="15">
        <f t="shared" si="11"/>
        <v>0</v>
      </c>
      <c r="T254" s="16"/>
      <c r="U254" s="16"/>
    </row>
    <row r="255" spans="1:21" x14ac:dyDescent="0.25">
      <c r="A255" s="16" t="s">
        <v>37</v>
      </c>
      <c r="B255" s="16" t="s">
        <v>257</v>
      </c>
      <c r="C255" s="16" t="s">
        <v>258</v>
      </c>
      <c r="D255" s="16" t="s">
        <v>100</v>
      </c>
      <c r="E255" s="16" t="s">
        <v>101</v>
      </c>
      <c r="F255" s="16" t="s">
        <v>154</v>
      </c>
      <c r="G255" s="16" t="s">
        <v>155</v>
      </c>
      <c r="H255" s="16" t="s">
        <v>85</v>
      </c>
      <c r="I255" s="16" t="s">
        <v>40</v>
      </c>
      <c r="J255" s="16" t="s">
        <v>298</v>
      </c>
      <c r="K255" s="16" t="s">
        <v>299</v>
      </c>
      <c r="L255" s="15">
        <v>-2926.94664474</v>
      </c>
      <c r="M255" s="15">
        <v>-119.769552</v>
      </c>
      <c r="N255" s="15">
        <v>-1858.2710249614001</v>
      </c>
      <c r="O255" s="15">
        <v>-1068.6756197785996</v>
      </c>
      <c r="P255" s="15">
        <v>-1068.6756197785996</v>
      </c>
      <c r="Q255" s="15">
        <f t="shared" si="10"/>
        <v>-1068.6756197785996</v>
      </c>
      <c r="R255" s="15">
        <v>0</v>
      </c>
      <c r="S255" s="15">
        <f t="shared" si="11"/>
        <v>-1068.6756197785996</v>
      </c>
      <c r="T255" s="16"/>
      <c r="U255" s="26"/>
    </row>
    <row r="256" spans="1:21" x14ac:dyDescent="0.25">
      <c r="A256" s="16" t="s">
        <v>37</v>
      </c>
      <c r="B256" s="16" t="s">
        <v>269</v>
      </c>
      <c r="C256" s="16" t="s">
        <v>270</v>
      </c>
      <c r="D256" s="16" t="s">
        <v>100</v>
      </c>
      <c r="E256" s="16" t="s">
        <v>101</v>
      </c>
      <c r="F256" s="16" t="s">
        <v>154</v>
      </c>
      <c r="G256" s="16" t="s">
        <v>155</v>
      </c>
      <c r="H256" s="16" t="s">
        <v>85</v>
      </c>
      <c r="I256" s="16" t="s">
        <v>40</v>
      </c>
      <c r="J256" s="16" t="s">
        <v>132</v>
      </c>
      <c r="K256" s="16" t="s">
        <v>133</v>
      </c>
      <c r="L256" s="15">
        <v>-11603.38038334372</v>
      </c>
      <c r="M256" s="15">
        <v>-11603.38038334372</v>
      </c>
      <c r="N256" s="15">
        <v>-11603.379997883845</v>
      </c>
      <c r="O256" s="15">
        <v>-3.8545987297311513E-4</v>
      </c>
      <c r="P256" s="15">
        <v>0</v>
      </c>
      <c r="Q256" s="15">
        <f t="shared" si="10"/>
        <v>0</v>
      </c>
      <c r="R256" s="15">
        <v>0</v>
      </c>
      <c r="S256" s="15">
        <f t="shared" si="11"/>
        <v>0</v>
      </c>
      <c r="T256" s="16"/>
      <c r="U256" s="16"/>
    </row>
    <row r="257" spans="1:21" x14ac:dyDescent="0.25">
      <c r="A257" s="16" t="s">
        <v>37</v>
      </c>
      <c r="B257" s="16" t="s">
        <v>269</v>
      </c>
      <c r="C257" s="16" t="s">
        <v>270</v>
      </c>
      <c r="D257" s="16" t="s">
        <v>100</v>
      </c>
      <c r="E257" s="16" t="s">
        <v>101</v>
      </c>
      <c r="F257" s="16" t="s">
        <v>154</v>
      </c>
      <c r="G257" s="16" t="s">
        <v>155</v>
      </c>
      <c r="H257" s="16" t="s">
        <v>85</v>
      </c>
      <c r="I257" s="16" t="s">
        <v>40</v>
      </c>
      <c r="J257" s="16" t="s">
        <v>64</v>
      </c>
      <c r="K257" s="16" t="s">
        <v>65</v>
      </c>
      <c r="L257" s="15">
        <v>-25717.704636341037</v>
      </c>
      <c r="M257" s="15">
        <v>0</v>
      </c>
      <c r="N257" s="15">
        <v>-23217.699963209256</v>
      </c>
      <c r="O257" s="15">
        <v>-2500.0046731317816</v>
      </c>
      <c r="P257" s="15">
        <v>-2500.0046731317816</v>
      </c>
      <c r="Q257" s="15">
        <f t="shared" si="10"/>
        <v>-2500.0046731317816</v>
      </c>
      <c r="R257" s="15">
        <v>0</v>
      </c>
      <c r="S257" s="15">
        <f t="shared" si="11"/>
        <v>-2500.0046731317816</v>
      </c>
      <c r="T257" s="16"/>
      <c r="U257" s="16"/>
    </row>
    <row r="258" spans="1:21" x14ac:dyDescent="0.25">
      <c r="A258" s="16" t="s">
        <v>37</v>
      </c>
      <c r="B258" s="16" t="s">
        <v>269</v>
      </c>
      <c r="C258" s="16" t="s">
        <v>270</v>
      </c>
      <c r="D258" s="16" t="s">
        <v>100</v>
      </c>
      <c r="E258" s="16" t="s">
        <v>101</v>
      </c>
      <c r="F258" s="16" t="s">
        <v>154</v>
      </c>
      <c r="G258" s="16" t="s">
        <v>155</v>
      </c>
      <c r="H258" s="16" t="s">
        <v>85</v>
      </c>
      <c r="I258" s="16" t="s">
        <v>40</v>
      </c>
      <c r="J258" s="16" t="s">
        <v>66</v>
      </c>
      <c r="K258" s="16" t="s">
        <v>63</v>
      </c>
      <c r="L258" s="15">
        <v>-15398.847824232224</v>
      </c>
      <c r="M258" s="15">
        <v>-15398.847824232224</v>
      </c>
      <c r="N258" s="15">
        <v>-15398.849986943165</v>
      </c>
      <c r="O258" s="15">
        <v>2.1627109422297508E-3</v>
      </c>
      <c r="P258" s="15">
        <v>0</v>
      </c>
      <c r="Q258" s="15">
        <f t="shared" si="10"/>
        <v>0</v>
      </c>
      <c r="R258" s="15">
        <v>0</v>
      </c>
      <c r="S258" s="15">
        <f t="shared" si="11"/>
        <v>0</v>
      </c>
      <c r="T258" s="16"/>
      <c r="U258" s="16"/>
    </row>
    <row r="259" spans="1:21" x14ac:dyDescent="0.25">
      <c r="A259" s="16" t="s">
        <v>37</v>
      </c>
      <c r="B259" s="16" t="s">
        <v>257</v>
      </c>
      <c r="C259" s="16" t="s">
        <v>258</v>
      </c>
      <c r="D259" s="16" t="s">
        <v>100</v>
      </c>
      <c r="E259" s="16" t="s">
        <v>101</v>
      </c>
      <c r="F259" s="16" t="s">
        <v>154</v>
      </c>
      <c r="G259" s="16" t="s">
        <v>155</v>
      </c>
      <c r="H259" s="16" t="s">
        <v>85</v>
      </c>
      <c r="I259" s="16" t="s">
        <v>40</v>
      </c>
      <c r="J259" s="16" t="s">
        <v>67</v>
      </c>
      <c r="K259" s="16" t="s">
        <v>68</v>
      </c>
      <c r="L259" s="15">
        <v>-1720</v>
      </c>
      <c r="M259" s="15">
        <v>0</v>
      </c>
      <c r="N259" s="15">
        <v>0</v>
      </c>
      <c r="O259" s="15">
        <v>-1720</v>
      </c>
      <c r="P259" s="15">
        <v>-1720</v>
      </c>
      <c r="Q259" s="15">
        <f t="shared" si="10"/>
        <v>-1720</v>
      </c>
      <c r="R259" s="15">
        <v>0</v>
      </c>
      <c r="S259" s="15">
        <f t="shared" si="11"/>
        <v>-1720</v>
      </c>
      <c r="T259" s="16"/>
      <c r="U259" s="26"/>
    </row>
    <row r="260" spans="1:21" x14ac:dyDescent="0.25">
      <c r="A260" s="16" t="s">
        <v>37</v>
      </c>
      <c r="B260" s="16" t="s">
        <v>257</v>
      </c>
      <c r="C260" s="16" t="s">
        <v>258</v>
      </c>
      <c r="D260" s="16" t="s">
        <v>100</v>
      </c>
      <c r="E260" s="16" t="s">
        <v>101</v>
      </c>
      <c r="F260" s="16" t="s">
        <v>154</v>
      </c>
      <c r="G260" s="16" t="s">
        <v>155</v>
      </c>
      <c r="H260" s="16" t="s">
        <v>85</v>
      </c>
      <c r="I260" s="16" t="s">
        <v>40</v>
      </c>
      <c r="J260" s="16" t="s">
        <v>69</v>
      </c>
      <c r="K260" s="16" t="s">
        <v>70</v>
      </c>
      <c r="L260" s="15">
        <v>-1147.544322</v>
      </c>
      <c r="M260" s="15">
        <v>-1147.544322</v>
      </c>
      <c r="N260" s="15">
        <v>-1133.0210723400005</v>
      </c>
      <c r="O260" s="15">
        <v>-14.523249659999408</v>
      </c>
      <c r="P260" s="15">
        <v>0</v>
      </c>
      <c r="Q260" s="15">
        <f t="shared" si="10"/>
        <v>0</v>
      </c>
      <c r="R260" s="15">
        <v>0</v>
      </c>
      <c r="S260" s="15">
        <f t="shared" si="11"/>
        <v>0</v>
      </c>
      <c r="T260" s="16"/>
      <c r="U260" s="15">
        <f t="shared" ref="U260:U261" si="15">O260</f>
        <v>-14.523249659999408</v>
      </c>
    </row>
    <row r="261" spans="1:21" x14ac:dyDescent="0.25">
      <c r="A261" s="16" t="s">
        <v>37</v>
      </c>
      <c r="B261" s="16" t="s">
        <v>269</v>
      </c>
      <c r="C261" s="16" t="s">
        <v>270</v>
      </c>
      <c r="D261" s="16" t="s">
        <v>100</v>
      </c>
      <c r="E261" s="16" t="s">
        <v>101</v>
      </c>
      <c r="F261" s="16" t="s">
        <v>154</v>
      </c>
      <c r="G261" s="16" t="s">
        <v>155</v>
      </c>
      <c r="H261" s="16" t="s">
        <v>85</v>
      </c>
      <c r="I261" s="16" t="s">
        <v>40</v>
      </c>
      <c r="J261" s="16" t="s">
        <v>69</v>
      </c>
      <c r="K261" s="16" t="s">
        <v>70</v>
      </c>
      <c r="L261" s="15">
        <v>-387.90254126649177</v>
      </c>
      <c r="M261" s="15">
        <v>-387.90254126649177</v>
      </c>
      <c r="N261" s="15">
        <v>-387.88999931170179</v>
      </c>
      <c r="O261" s="15">
        <v>-1.2541954789973886E-2</v>
      </c>
      <c r="P261" s="15">
        <v>0</v>
      </c>
      <c r="Q261" s="15">
        <f t="shared" ref="Q261:Q324" si="16">P261-R261</f>
        <v>0</v>
      </c>
      <c r="R261" s="15">
        <v>0</v>
      </c>
      <c r="S261" s="15">
        <f t="shared" ref="S261:S324" si="17">SUM(Q261:R261)</f>
        <v>0</v>
      </c>
      <c r="T261" s="16"/>
      <c r="U261" s="15">
        <f t="shared" si="15"/>
        <v>-1.2541954789973886E-2</v>
      </c>
    </row>
    <row r="262" spans="1:21" x14ac:dyDescent="0.25">
      <c r="A262" s="16" t="s">
        <v>37</v>
      </c>
      <c r="B262" s="16" t="s">
        <v>257</v>
      </c>
      <c r="C262" s="16" t="s">
        <v>258</v>
      </c>
      <c r="D262" s="16" t="s">
        <v>100</v>
      </c>
      <c r="E262" s="16" t="s">
        <v>101</v>
      </c>
      <c r="F262" s="16" t="s">
        <v>154</v>
      </c>
      <c r="G262" s="16" t="s">
        <v>155</v>
      </c>
      <c r="H262" s="16" t="s">
        <v>85</v>
      </c>
      <c r="I262" s="16" t="s">
        <v>40</v>
      </c>
      <c r="J262" s="16" t="s">
        <v>136</v>
      </c>
      <c r="K262" s="16" t="s">
        <v>137</v>
      </c>
      <c r="L262" s="15">
        <v>-19447.700000000012</v>
      </c>
      <c r="M262" s="15">
        <v>0</v>
      </c>
      <c r="N262" s="15">
        <v>-19447.7</v>
      </c>
      <c r="O262" s="15">
        <v>-1.0913936421275139E-11</v>
      </c>
      <c r="P262" s="15">
        <v>-1.0913936421275139E-11</v>
      </c>
      <c r="Q262" s="15">
        <f t="shared" si="16"/>
        <v>-1.0913936421275139E-11</v>
      </c>
      <c r="R262" s="15">
        <v>0</v>
      </c>
      <c r="S262" s="15">
        <f t="shared" si="17"/>
        <v>-1.0913936421275139E-11</v>
      </c>
      <c r="T262" s="16"/>
      <c r="U262" s="26"/>
    </row>
    <row r="263" spans="1:21" x14ac:dyDescent="0.25">
      <c r="A263" s="16" t="s">
        <v>37</v>
      </c>
      <c r="B263" s="16" t="s">
        <v>265</v>
      </c>
      <c r="C263" s="16" t="s">
        <v>266</v>
      </c>
      <c r="D263" s="16" t="s">
        <v>100</v>
      </c>
      <c r="E263" s="16" t="s">
        <v>101</v>
      </c>
      <c r="F263" s="16" t="s">
        <v>154</v>
      </c>
      <c r="G263" s="16" t="s">
        <v>155</v>
      </c>
      <c r="H263" s="16" t="s">
        <v>85</v>
      </c>
      <c r="I263" s="16" t="s">
        <v>40</v>
      </c>
      <c r="J263" s="16" t="s">
        <v>138</v>
      </c>
      <c r="K263" s="16" t="s">
        <v>139</v>
      </c>
      <c r="L263" s="15">
        <v>-762.8503038114527</v>
      </c>
      <c r="M263" s="15">
        <v>0</v>
      </c>
      <c r="N263" s="15">
        <v>-762.8503038114527</v>
      </c>
      <c r="O263" s="15">
        <v>0</v>
      </c>
      <c r="P263" s="15">
        <v>0</v>
      </c>
      <c r="Q263" s="15">
        <f t="shared" si="16"/>
        <v>0</v>
      </c>
      <c r="R263" s="15">
        <v>0</v>
      </c>
      <c r="S263" s="15">
        <f t="shared" si="17"/>
        <v>0</v>
      </c>
      <c r="T263" s="16"/>
      <c r="U263" s="16"/>
    </row>
    <row r="264" spans="1:21" x14ac:dyDescent="0.25">
      <c r="A264" s="28" t="s">
        <v>37</v>
      </c>
      <c r="B264" s="28" t="s">
        <v>269</v>
      </c>
      <c r="C264" s="28" t="s">
        <v>270</v>
      </c>
      <c r="D264" s="28" t="s">
        <v>100</v>
      </c>
      <c r="E264" s="28" t="s">
        <v>101</v>
      </c>
      <c r="F264" s="28" t="s">
        <v>156</v>
      </c>
      <c r="G264" s="28" t="s">
        <v>157</v>
      </c>
      <c r="H264" s="28" t="s">
        <v>85</v>
      </c>
      <c r="I264" s="28" t="s">
        <v>40</v>
      </c>
      <c r="J264" s="28" t="s">
        <v>38</v>
      </c>
      <c r="K264" s="28" t="s">
        <v>293</v>
      </c>
      <c r="L264" s="29">
        <v>-50456.275019116511</v>
      </c>
      <c r="M264" s="29">
        <v>-144.59849013650523</v>
      </c>
      <c r="N264" s="29">
        <v>-103663.63300447934</v>
      </c>
      <c r="O264" s="29">
        <v>53207.357985362833</v>
      </c>
      <c r="P264" s="29">
        <f>O264</f>
        <v>53207.357985362833</v>
      </c>
      <c r="Q264" s="29">
        <f>P264-R264-53207</f>
        <v>0.35798536283255089</v>
      </c>
      <c r="R264" s="15">
        <v>0</v>
      </c>
      <c r="S264" s="15">
        <f t="shared" si="17"/>
        <v>0.35798536283255089</v>
      </c>
      <c r="T264" s="16"/>
      <c r="U264" s="16"/>
    </row>
    <row r="265" spans="1:21" x14ac:dyDescent="0.25">
      <c r="A265" s="16" t="s">
        <v>37</v>
      </c>
      <c r="B265" s="16" t="s">
        <v>261</v>
      </c>
      <c r="C265" s="16" t="s">
        <v>262</v>
      </c>
      <c r="D265" s="16" t="s">
        <v>100</v>
      </c>
      <c r="E265" s="16" t="s">
        <v>101</v>
      </c>
      <c r="F265" s="16" t="s">
        <v>156</v>
      </c>
      <c r="G265" s="16" t="s">
        <v>157</v>
      </c>
      <c r="H265" s="16" t="s">
        <v>85</v>
      </c>
      <c r="I265" s="16" t="s">
        <v>40</v>
      </c>
      <c r="J265" s="16" t="s">
        <v>38</v>
      </c>
      <c r="K265" s="16" t="s">
        <v>293</v>
      </c>
      <c r="L265" s="15">
        <v>-868179.55427239928</v>
      </c>
      <c r="M265" s="15">
        <v>-176166.92</v>
      </c>
      <c r="N265" s="15">
        <v>-649708.97323909088</v>
      </c>
      <c r="O265" s="15">
        <v>-218470.58103330852</v>
      </c>
      <c r="P265" s="15">
        <v>-218470.58103330852</v>
      </c>
      <c r="Q265" s="15">
        <f t="shared" si="16"/>
        <v>-218470.58103330852</v>
      </c>
      <c r="R265" s="15">
        <v>0</v>
      </c>
      <c r="S265" s="15">
        <f t="shared" si="17"/>
        <v>-218470.58103330852</v>
      </c>
      <c r="T265" s="16"/>
      <c r="U265" s="16"/>
    </row>
    <row r="266" spans="1:21" x14ac:dyDescent="0.25">
      <c r="A266" s="16" t="s">
        <v>37</v>
      </c>
      <c r="B266" s="16" t="s">
        <v>257</v>
      </c>
      <c r="C266" s="16" t="s">
        <v>258</v>
      </c>
      <c r="D266" s="16" t="s">
        <v>100</v>
      </c>
      <c r="E266" s="16" t="s">
        <v>101</v>
      </c>
      <c r="F266" s="16" t="s">
        <v>156</v>
      </c>
      <c r="G266" s="16" t="s">
        <v>157</v>
      </c>
      <c r="H266" s="16" t="s">
        <v>85</v>
      </c>
      <c r="I266" s="16" t="s">
        <v>40</v>
      </c>
      <c r="J266" s="16" t="s">
        <v>38</v>
      </c>
      <c r="K266" s="16" t="s">
        <v>293</v>
      </c>
      <c r="L266" s="15">
        <v>-2979037.6382238595</v>
      </c>
      <c r="M266" s="15">
        <v>-908737.85159945046</v>
      </c>
      <c r="N266" s="15">
        <v>-1952056.6811778466</v>
      </c>
      <c r="O266" s="15">
        <v>-1026980.9570460134</v>
      </c>
      <c r="P266" s="15">
        <v>-1026980.9570460134</v>
      </c>
      <c r="Q266" s="15">
        <f>P266-R266+P264</f>
        <v>-973773.59906065057</v>
      </c>
      <c r="R266" s="15">
        <v>0</v>
      </c>
      <c r="S266" s="15">
        <f t="shared" si="17"/>
        <v>-973773.59906065057</v>
      </c>
      <c r="T266" s="16"/>
      <c r="U266" s="26"/>
    </row>
    <row r="267" spans="1:21" x14ac:dyDescent="0.25">
      <c r="A267" s="16" t="s">
        <v>37</v>
      </c>
      <c r="B267" s="16" t="s">
        <v>257</v>
      </c>
      <c r="C267" s="16" t="s">
        <v>258</v>
      </c>
      <c r="D267" s="16" t="s">
        <v>100</v>
      </c>
      <c r="E267" s="16" t="s">
        <v>101</v>
      </c>
      <c r="F267" s="16" t="s">
        <v>156</v>
      </c>
      <c r="G267" s="16" t="s">
        <v>157</v>
      </c>
      <c r="H267" s="16" t="s">
        <v>85</v>
      </c>
      <c r="I267" s="16" t="s">
        <v>40</v>
      </c>
      <c r="J267" s="16" t="s">
        <v>142</v>
      </c>
      <c r="K267" s="16" t="s">
        <v>143</v>
      </c>
      <c r="L267" s="15">
        <v>-7318.0379999999996</v>
      </c>
      <c r="M267" s="15">
        <v>0</v>
      </c>
      <c r="N267" s="15">
        <v>0</v>
      </c>
      <c r="O267" s="15">
        <v>-7318.0379999999996</v>
      </c>
      <c r="P267" s="15">
        <v>-7318.0379999999996</v>
      </c>
      <c r="Q267" s="15">
        <f t="shared" si="16"/>
        <v>-7318.0379999999996</v>
      </c>
      <c r="R267" s="15">
        <v>0</v>
      </c>
      <c r="S267" s="15">
        <f t="shared" si="17"/>
        <v>-7318.0379999999996</v>
      </c>
      <c r="T267" s="16"/>
      <c r="U267" s="26"/>
    </row>
    <row r="268" spans="1:21" x14ac:dyDescent="0.25">
      <c r="A268" s="16" t="s">
        <v>37</v>
      </c>
      <c r="B268" s="16" t="s">
        <v>269</v>
      </c>
      <c r="C268" s="16" t="s">
        <v>270</v>
      </c>
      <c r="D268" s="16" t="s">
        <v>100</v>
      </c>
      <c r="E268" s="16" t="s">
        <v>101</v>
      </c>
      <c r="F268" s="16" t="s">
        <v>156</v>
      </c>
      <c r="G268" s="16" t="s">
        <v>157</v>
      </c>
      <c r="H268" s="16" t="s">
        <v>85</v>
      </c>
      <c r="I268" s="16" t="s">
        <v>40</v>
      </c>
      <c r="J268" s="16" t="s">
        <v>130</v>
      </c>
      <c r="K268" s="16" t="s">
        <v>131</v>
      </c>
      <c r="L268" s="15">
        <v>-751.4600000025946</v>
      </c>
      <c r="M268" s="15">
        <v>-751.4600000025946</v>
      </c>
      <c r="N268" s="15">
        <v>0</v>
      </c>
      <c r="O268" s="15">
        <v>-751.4600000025946</v>
      </c>
      <c r="P268" s="15">
        <v>-751.4600000025946</v>
      </c>
      <c r="Q268" s="15">
        <f t="shared" si="16"/>
        <v>-751.4600000025946</v>
      </c>
      <c r="R268" s="15">
        <v>0</v>
      </c>
      <c r="S268" s="15">
        <f t="shared" si="17"/>
        <v>-751.4600000025946</v>
      </c>
      <c r="T268" s="16"/>
      <c r="U268" s="16"/>
    </row>
    <row r="269" spans="1:21" x14ac:dyDescent="0.25">
      <c r="A269" s="16" t="s">
        <v>37</v>
      </c>
      <c r="B269" s="16" t="s">
        <v>257</v>
      </c>
      <c r="C269" s="16" t="s">
        <v>258</v>
      </c>
      <c r="D269" s="16" t="s">
        <v>100</v>
      </c>
      <c r="E269" s="16" t="s">
        <v>101</v>
      </c>
      <c r="F269" s="16" t="s">
        <v>156</v>
      </c>
      <c r="G269" s="16" t="s">
        <v>157</v>
      </c>
      <c r="H269" s="16" t="s">
        <v>85</v>
      </c>
      <c r="I269" s="16" t="s">
        <v>40</v>
      </c>
      <c r="J269" s="16" t="s">
        <v>296</v>
      </c>
      <c r="K269" s="16" t="s">
        <v>297</v>
      </c>
      <c r="L269" s="15">
        <v>-200039.96498299707</v>
      </c>
      <c r="M269" s="15">
        <v>-3183.04814115</v>
      </c>
      <c r="N269" s="15">
        <v>-199962.595004</v>
      </c>
      <c r="O269" s="15">
        <v>-77.369978997070575</v>
      </c>
      <c r="P269" s="15">
        <v>-77.369978997070575</v>
      </c>
      <c r="Q269" s="15">
        <f t="shared" si="16"/>
        <v>-77.369978997070575</v>
      </c>
      <c r="R269" s="15">
        <v>0</v>
      </c>
      <c r="S269" s="15">
        <f t="shared" si="17"/>
        <v>-77.369978997070575</v>
      </c>
      <c r="T269" s="16"/>
      <c r="U269" s="26"/>
    </row>
    <row r="270" spans="1:21" x14ac:dyDescent="0.25">
      <c r="A270" s="16" t="s">
        <v>37</v>
      </c>
      <c r="B270" s="16" t="s">
        <v>269</v>
      </c>
      <c r="C270" s="16" t="s">
        <v>270</v>
      </c>
      <c r="D270" s="16" t="s">
        <v>100</v>
      </c>
      <c r="E270" s="16" t="s">
        <v>101</v>
      </c>
      <c r="F270" s="16" t="s">
        <v>156</v>
      </c>
      <c r="G270" s="16" t="s">
        <v>157</v>
      </c>
      <c r="H270" s="16" t="s">
        <v>85</v>
      </c>
      <c r="I270" s="16" t="s">
        <v>40</v>
      </c>
      <c r="J270" s="16" t="s">
        <v>124</v>
      </c>
      <c r="K270" s="16" t="s">
        <v>125</v>
      </c>
      <c r="L270" s="15">
        <v>-332.71611586127824</v>
      </c>
      <c r="M270" s="15">
        <v>0</v>
      </c>
      <c r="N270" s="15">
        <v>-278.8399999999998</v>
      </c>
      <c r="O270" s="15">
        <v>-53.876115861278436</v>
      </c>
      <c r="P270" s="15">
        <v>0</v>
      </c>
      <c r="Q270" s="15">
        <f t="shared" si="16"/>
        <v>0</v>
      </c>
      <c r="R270" s="15">
        <v>0</v>
      </c>
      <c r="S270" s="15">
        <f t="shared" si="17"/>
        <v>0</v>
      </c>
      <c r="T270" s="16"/>
      <c r="U270" s="16"/>
    </row>
    <row r="271" spans="1:21" x14ac:dyDescent="0.25">
      <c r="A271" s="16" t="s">
        <v>37</v>
      </c>
      <c r="B271" s="16" t="s">
        <v>261</v>
      </c>
      <c r="C271" s="16" t="s">
        <v>262</v>
      </c>
      <c r="D271" s="16" t="s">
        <v>100</v>
      </c>
      <c r="E271" s="16" t="s">
        <v>101</v>
      </c>
      <c r="F271" s="16" t="s">
        <v>156</v>
      </c>
      <c r="G271" s="16" t="s">
        <v>157</v>
      </c>
      <c r="H271" s="16" t="s">
        <v>85</v>
      </c>
      <c r="I271" s="16" t="s">
        <v>40</v>
      </c>
      <c r="J271" s="16" t="s">
        <v>124</v>
      </c>
      <c r="K271" s="16" t="s">
        <v>125</v>
      </c>
      <c r="L271" s="15">
        <v>-2657.5101595999995</v>
      </c>
      <c r="M271" s="15">
        <v>0</v>
      </c>
      <c r="N271" s="15">
        <v>-2629.4092247296003</v>
      </c>
      <c r="O271" s="15">
        <v>-28.10093487039984</v>
      </c>
      <c r="P271" s="15">
        <v>0</v>
      </c>
      <c r="Q271" s="15">
        <f t="shared" si="16"/>
        <v>0</v>
      </c>
      <c r="R271" s="15">
        <v>0</v>
      </c>
      <c r="S271" s="15">
        <f t="shared" si="17"/>
        <v>0</v>
      </c>
      <c r="T271" s="16"/>
      <c r="U271" s="16"/>
    </row>
    <row r="272" spans="1:21" x14ac:dyDescent="0.25">
      <c r="A272" s="16" t="s">
        <v>37</v>
      </c>
      <c r="B272" s="16" t="s">
        <v>257</v>
      </c>
      <c r="C272" s="16" t="s">
        <v>258</v>
      </c>
      <c r="D272" s="16" t="s">
        <v>100</v>
      </c>
      <c r="E272" s="16" t="s">
        <v>101</v>
      </c>
      <c r="F272" s="16" t="s">
        <v>156</v>
      </c>
      <c r="G272" s="16" t="s">
        <v>157</v>
      </c>
      <c r="H272" s="16" t="s">
        <v>85</v>
      </c>
      <c r="I272" s="16" t="s">
        <v>40</v>
      </c>
      <c r="J272" s="16" t="s">
        <v>124</v>
      </c>
      <c r="K272" s="16" t="s">
        <v>125</v>
      </c>
      <c r="L272" s="15">
        <v>-178.12910000000002</v>
      </c>
      <c r="M272" s="15">
        <v>0</v>
      </c>
      <c r="N272" s="15">
        <v>-134.864924</v>
      </c>
      <c r="O272" s="15">
        <v>-43.264176000000006</v>
      </c>
      <c r="P272" s="15">
        <v>0</v>
      </c>
      <c r="Q272" s="15">
        <f t="shared" si="16"/>
        <v>0</v>
      </c>
      <c r="R272" s="15">
        <v>0</v>
      </c>
      <c r="S272" s="15">
        <f t="shared" si="17"/>
        <v>0</v>
      </c>
      <c r="T272" s="16"/>
      <c r="U272" s="26"/>
    </row>
    <row r="273" spans="1:21" x14ac:dyDescent="0.25">
      <c r="A273" s="16" t="s">
        <v>37</v>
      </c>
      <c r="B273" s="16" t="s">
        <v>257</v>
      </c>
      <c r="C273" s="16" t="s">
        <v>258</v>
      </c>
      <c r="D273" s="16" t="s">
        <v>100</v>
      </c>
      <c r="E273" s="16" t="s">
        <v>101</v>
      </c>
      <c r="F273" s="16" t="s">
        <v>156</v>
      </c>
      <c r="G273" s="16" t="s">
        <v>157</v>
      </c>
      <c r="H273" s="16" t="s">
        <v>85</v>
      </c>
      <c r="I273" s="16" t="s">
        <v>40</v>
      </c>
      <c r="J273" s="16" t="s">
        <v>298</v>
      </c>
      <c r="K273" s="16" t="s">
        <v>299</v>
      </c>
      <c r="L273" s="15">
        <v>-6197.5597686400006</v>
      </c>
      <c r="M273" s="15">
        <v>-253.79738400000011</v>
      </c>
      <c r="N273" s="15">
        <v>-3933.2913476599997</v>
      </c>
      <c r="O273" s="15">
        <v>-2264.2684209799986</v>
      </c>
      <c r="P273" s="15">
        <v>-2264.2684209799986</v>
      </c>
      <c r="Q273" s="15">
        <f t="shared" si="16"/>
        <v>-2264.2684209799986</v>
      </c>
      <c r="R273" s="15">
        <v>0</v>
      </c>
      <c r="S273" s="15">
        <f t="shared" si="17"/>
        <v>-2264.2684209799986</v>
      </c>
      <c r="T273" s="16"/>
      <c r="U273" s="26"/>
    </row>
    <row r="274" spans="1:21" x14ac:dyDescent="0.25">
      <c r="A274" s="16" t="s">
        <v>37</v>
      </c>
      <c r="B274" s="16" t="s">
        <v>269</v>
      </c>
      <c r="C274" s="16" t="s">
        <v>270</v>
      </c>
      <c r="D274" s="16" t="s">
        <v>100</v>
      </c>
      <c r="E274" s="16" t="s">
        <v>101</v>
      </c>
      <c r="F274" s="16" t="s">
        <v>156</v>
      </c>
      <c r="G274" s="16" t="s">
        <v>157</v>
      </c>
      <c r="H274" s="16" t="s">
        <v>85</v>
      </c>
      <c r="I274" s="16" t="s">
        <v>40</v>
      </c>
      <c r="J274" s="16" t="s">
        <v>132</v>
      </c>
      <c r="K274" s="16" t="s">
        <v>133</v>
      </c>
      <c r="L274" s="15">
        <v>-11223.642949642268</v>
      </c>
      <c r="M274" s="15">
        <v>-11223.642949642268</v>
      </c>
      <c r="N274" s="15">
        <v>-11223.6399979531</v>
      </c>
      <c r="O274" s="15">
        <v>-2.9516891686398594E-3</v>
      </c>
      <c r="P274" s="15">
        <v>0</v>
      </c>
      <c r="Q274" s="15">
        <f t="shared" si="16"/>
        <v>0</v>
      </c>
      <c r="R274" s="15">
        <v>0</v>
      </c>
      <c r="S274" s="15">
        <f t="shared" si="17"/>
        <v>0</v>
      </c>
      <c r="T274" s="16"/>
      <c r="U274" s="16"/>
    </row>
    <row r="275" spans="1:21" x14ac:dyDescent="0.25">
      <c r="A275" s="16" t="s">
        <v>37</v>
      </c>
      <c r="B275" s="16" t="s">
        <v>269</v>
      </c>
      <c r="C275" s="16" t="s">
        <v>270</v>
      </c>
      <c r="D275" s="16" t="s">
        <v>100</v>
      </c>
      <c r="E275" s="16" t="s">
        <v>101</v>
      </c>
      <c r="F275" s="16" t="s">
        <v>156</v>
      </c>
      <c r="G275" s="16" t="s">
        <v>157</v>
      </c>
      <c r="H275" s="16" t="s">
        <v>85</v>
      </c>
      <c r="I275" s="16" t="s">
        <v>40</v>
      </c>
      <c r="J275" s="16" t="s">
        <v>64</v>
      </c>
      <c r="K275" s="16" t="s">
        <v>65</v>
      </c>
      <c r="L275" s="15">
        <v>-17156.401955659559</v>
      </c>
      <c r="M275" s="15">
        <v>0</v>
      </c>
      <c r="N275" s="15">
        <v>-15041.949976164544</v>
      </c>
      <c r="O275" s="15">
        <v>-2114.4519794950102</v>
      </c>
      <c r="P275" s="15">
        <v>-2114.4519794950102</v>
      </c>
      <c r="Q275" s="15">
        <f t="shared" si="16"/>
        <v>-2114.4519794950102</v>
      </c>
      <c r="R275" s="15">
        <v>0</v>
      </c>
      <c r="S275" s="15">
        <f t="shared" si="17"/>
        <v>-2114.4519794950102</v>
      </c>
      <c r="T275" s="16"/>
      <c r="U275" s="16"/>
    </row>
    <row r="276" spans="1:21" x14ac:dyDescent="0.25">
      <c r="A276" s="16" t="s">
        <v>37</v>
      </c>
      <c r="B276" s="16" t="s">
        <v>269</v>
      </c>
      <c r="C276" s="16" t="s">
        <v>270</v>
      </c>
      <c r="D276" s="16" t="s">
        <v>100</v>
      </c>
      <c r="E276" s="16" t="s">
        <v>101</v>
      </c>
      <c r="F276" s="16" t="s">
        <v>156</v>
      </c>
      <c r="G276" s="16" t="s">
        <v>157</v>
      </c>
      <c r="H276" s="16" t="s">
        <v>85</v>
      </c>
      <c r="I276" s="16" t="s">
        <v>40</v>
      </c>
      <c r="J276" s="16" t="s">
        <v>66</v>
      </c>
      <c r="K276" s="16" t="s">
        <v>63</v>
      </c>
      <c r="L276" s="15">
        <v>-5911.1321866264789</v>
      </c>
      <c r="M276" s="15">
        <v>-5911.1321866264789</v>
      </c>
      <c r="N276" s="15">
        <v>-5911.129994987894</v>
      </c>
      <c r="O276" s="15">
        <v>-2.1916385838949282E-3</v>
      </c>
      <c r="P276" s="15">
        <v>0</v>
      </c>
      <c r="Q276" s="15">
        <f t="shared" si="16"/>
        <v>0</v>
      </c>
      <c r="R276" s="15">
        <v>0</v>
      </c>
      <c r="S276" s="15">
        <f t="shared" si="17"/>
        <v>0</v>
      </c>
      <c r="T276" s="16"/>
      <c r="U276" s="16"/>
    </row>
    <row r="277" spans="1:21" x14ac:dyDescent="0.25">
      <c r="A277" s="16" t="s">
        <v>37</v>
      </c>
      <c r="B277" s="16" t="s">
        <v>257</v>
      </c>
      <c r="C277" s="16" t="s">
        <v>258</v>
      </c>
      <c r="D277" s="16" t="s">
        <v>100</v>
      </c>
      <c r="E277" s="16" t="s">
        <v>101</v>
      </c>
      <c r="F277" s="16" t="s">
        <v>156</v>
      </c>
      <c r="G277" s="16" t="s">
        <v>157</v>
      </c>
      <c r="H277" s="16" t="s">
        <v>85</v>
      </c>
      <c r="I277" s="16" t="s">
        <v>40</v>
      </c>
      <c r="J277" s="16" t="s">
        <v>67</v>
      </c>
      <c r="K277" s="16" t="s">
        <v>68</v>
      </c>
      <c r="L277" s="15">
        <v>-3765</v>
      </c>
      <c r="M277" s="15">
        <v>0</v>
      </c>
      <c r="N277" s="15">
        <v>0</v>
      </c>
      <c r="O277" s="15">
        <v>-3765</v>
      </c>
      <c r="P277" s="15">
        <v>-3765</v>
      </c>
      <c r="Q277" s="15">
        <f t="shared" si="16"/>
        <v>-3765</v>
      </c>
      <c r="R277" s="15">
        <v>0</v>
      </c>
      <c r="S277" s="15">
        <f t="shared" si="17"/>
        <v>-3765</v>
      </c>
      <c r="T277" s="16"/>
      <c r="U277" s="26"/>
    </row>
    <row r="278" spans="1:21" x14ac:dyDescent="0.25">
      <c r="A278" s="16" t="s">
        <v>37</v>
      </c>
      <c r="B278" s="16" t="s">
        <v>269</v>
      </c>
      <c r="C278" s="16" t="s">
        <v>270</v>
      </c>
      <c r="D278" s="16" t="s">
        <v>100</v>
      </c>
      <c r="E278" s="16" t="s">
        <v>101</v>
      </c>
      <c r="F278" s="16" t="s">
        <v>156</v>
      </c>
      <c r="G278" s="16" t="s">
        <v>157</v>
      </c>
      <c r="H278" s="16" t="s">
        <v>85</v>
      </c>
      <c r="I278" s="16" t="s">
        <v>40</v>
      </c>
      <c r="J278" s="16" t="s">
        <v>69</v>
      </c>
      <c r="K278" s="16" t="s">
        <v>70</v>
      </c>
      <c r="L278" s="15">
        <v>-250.66932205931988</v>
      </c>
      <c r="M278" s="15">
        <v>-250.66932205931988</v>
      </c>
      <c r="N278" s="15">
        <v>-250.66999955519418</v>
      </c>
      <c r="O278" s="15">
        <v>6.7749587428522773E-4</v>
      </c>
      <c r="P278" s="15">
        <v>0</v>
      </c>
      <c r="Q278" s="15">
        <f t="shared" si="16"/>
        <v>0</v>
      </c>
      <c r="R278" s="15">
        <v>0</v>
      </c>
      <c r="S278" s="15">
        <f t="shared" si="17"/>
        <v>0</v>
      </c>
      <c r="T278" s="16"/>
      <c r="U278" s="15">
        <f t="shared" ref="U278:U280" si="18">O278</f>
        <v>6.7749587428522773E-4</v>
      </c>
    </row>
    <row r="279" spans="1:21" x14ac:dyDescent="0.25">
      <c r="A279" s="16" t="s">
        <v>37</v>
      </c>
      <c r="B279" s="16" t="s">
        <v>261</v>
      </c>
      <c r="C279" s="16" t="s">
        <v>262</v>
      </c>
      <c r="D279" s="16" t="s">
        <v>100</v>
      </c>
      <c r="E279" s="16" t="s">
        <v>101</v>
      </c>
      <c r="F279" s="16" t="s">
        <v>156</v>
      </c>
      <c r="G279" s="16" t="s">
        <v>157</v>
      </c>
      <c r="H279" s="16" t="s">
        <v>85</v>
      </c>
      <c r="I279" s="16" t="s">
        <v>40</v>
      </c>
      <c r="J279" s="16" t="s">
        <v>69</v>
      </c>
      <c r="K279" s="16" t="s">
        <v>70</v>
      </c>
      <c r="L279" s="15">
        <v>-187.07999995999998</v>
      </c>
      <c r="M279" s="15">
        <v>-187.07999999999998</v>
      </c>
      <c r="N279" s="15">
        <v>-224.5008</v>
      </c>
      <c r="O279" s="15">
        <v>37.420800040000003</v>
      </c>
      <c r="P279" s="15">
        <v>0</v>
      </c>
      <c r="Q279" s="15">
        <f t="shared" si="16"/>
        <v>0</v>
      </c>
      <c r="R279" s="15">
        <v>0</v>
      </c>
      <c r="S279" s="15">
        <f t="shared" si="17"/>
        <v>0</v>
      </c>
      <c r="T279" s="16"/>
      <c r="U279" s="15">
        <f t="shared" si="18"/>
        <v>37.420800040000003</v>
      </c>
    </row>
    <row r="280" spans="1:21" x14ac:dyDescent="0.25">
      <c r="A280" s="16" t="s">
        <v>37</v>
      </c>
      <c r="B280" s="16" t="s">
        <v>257</v>
      </c>
      <c r="C280" s="16" t="s">
        <v>258</v>
      </c>
      <c r="D280" s="16" t="s">
        <v>100</v>
      </c>
      <c r="E280" s="16" t="s">
        <v>101</v>
      </c>
      <c r="F280" s="16" t="s">
        <v>156</v>
      </c>
      <c r="G280" s="16" t="s">
        <v>157</v>
      </c>
      <c r="H280" s="16" t="s">
        <v>85</v>
      </c>
      <c r="I280" s="16" t="s">
        <v>40</v>
      </c>
      <c r="J280" s="16" t="s">
        <v>69</v>
      </c>
      <c r="K280" s="16" t="s">
        <v>70</v>
      </c>
      <c r="L280" s="15">
        <v>-2514.5643339999997</v>
      </c>
      <c r="M280" s="15">
        <v>-2514.5643339999997</v>
      </c>
      <c r="N280" s="15">
        <v>-2482.74016398</v>
      </c>
      <c r="O280" s="15">
        <v>-31.8241700199994</v>
      </c>
      <c r="P280" s="15">
        <v>0</v>
      </c>
      <c r="Q280" s="15">
        <f t="shared" si="16"/>
        <v>0</v>
      </c>
      <c r="R280" s="15">
        <v>0</v>
      </c>
      <c r="S280" s="15">
        <f t="shared" si="17"/>
        <v>0</v>
      </c>
      <c r="T280" s="16"/>
      <c r="U280" s="15">
        <f t="shared" si="18"/>
        <v>-31.8241700199994</v>
      </c>
    </row>
    <row r="281" spans="1:21" x14ac:dyDescent="0.25">
      <c r="A281" s="16" t="s">
        <v>37</v>
      </c>
      <c r="B281" s="16" t="s">
        <v>257</v>
      </c>
      <c r="C281" s="16" t="s">
        <v>258</v>
      </c>
      <c r="D281" s="16" t="s">
        <v>100</v>
      </c>
      <c r="E281" s="16" t="s">
        <v>101</v>
      </c>
      <c r="F281" s="16" t="s">
        <v>156</v>
      </c>
      <c r="G281" s="16" t="s">
        <v>157</v>
      </c>
      <c r="H281" s="16" t="s">
        <v>85</v>
      </c>
      <c r="I281" s="16" t="s">
        <v>40</v>
      </c>
      <c r="J281" s="16" t="s">
        <v>136</v>
      </c>
      <c r="K281" s="16" t="s">
        <v>137</v>
      </c>
      <c r="L281" s="15">
        <v>-54046.000000000022</v>
      </c>
      <c r="M281" s="15">
        <v>0</v>
      </c>
      <c r="N281" s="15">
        <v>-54046</v>
      </c>
      <c r="O281" s="15">
        <v>-2.1827872842550278E-11</v>
      </c>
      <c r="P281" s="15">
        <v>-2.1827872842550278E-11</v>
      </c>
      <c r="Q281" s="15">
        <f t="shared" si="16"/>
        <v>-2.1827872842550278E-11</v>
      </c>
      <c r="R281" s="15">
        <v>0</v>
      </c>
      <c r="S281" s="15">
        <f t="shared" si="17"/>
        <v>-2.1827872842550278E-11</v>
      </c>
      <c r="T281" s="16"/>
      <c r="U281" s="26"/>
    </row>
    <row r="282" spans="1:21" x14ac:dyDescent="0.25">
      <c r="A282" s="28" t="s">
        <v>37</v>
      </c>
      <c r="B282" s="28" t="s">
        <v>269</v>
      </c>
      <c r="C282" s="28" t="s">
        <v>270</v>
      </c>
      <c r="D282" s="28" t="s">
        <v>100</v>
      </c>
      <c r="E282" s="28" t="s">
        <v>101</v>
      </c>
      <c r="F282" s="28" t="s">
        <v>158</v>
      </c>
      <c r="G282" s="28" t="s">
        <v>159</v>
      </c>
      <c r="H282" s="28" t="s">
        <v>85</v>
      </c>
      <c r="I282" s="28" t="s">
        <v>40</v>
      </c>
      <c r="J282" s="28" t="s">
        <v>38</v>
      </c>
      <c r="K282" s="28" t="s">
        <v>293</v>
      </c>
      <c r="L282" s="29">
        <v>-350670.35651756753</v>
      </c>
      <c r="M282" s="29">
        <v>-3346.7410996034696</v>
      </c>
      <c r="N282" s="29">
        <v>-425937.79893713398</v>
      </c>
      <c r="O282" s="29">
        <v>75267.442419566491</v>
      </c>
      <c r="P282" s="29">
        <f>O282</f>
        <v>75267.442419566491</v>
      </c>
      <c r="Q282" s="29">
        <f>P282-R282-75267</f>
        <v>0.44241956649057101</v>
      </c>
      <c r="R282" s="15">
        <v>0</v>
      </c>
      <c r="S282" s="15">
        <f t="shared" si="17"/>
        <v>0.44241956649057101</v>
      </c>
      <c r="T282" s="16"/>
      <c r="U282" s="16"/>
    </row>
    <row r="283" spans="1:21" x14ac:dyDescent="0.25">
      <c r="A283" s="16" t="s">
        <v>37</v>
      </c>
      <c r="B283" s="16" t="s">
        <v>265</v>
      </c>
      <c r="C283" s="16" t="s">
        <v>266</v>
      </c>
      <c r="D283" s="16" t="s">
        <v>100</v>
      </c>
      <c r="E283" s="16" t="s">
        <v>101</v>
      </c>
      <c r="F283" s="16" t="s">
        <v>158</v>
      </c>
      <c r="G283" s="16" t="s">
        <v>159</v>
      </c>
      <c r="H283" s="16" t="s">
        <v>85</v>
      </c>
      <c r="I283" s="16" t="s">
        <v>40</v>
      </c>
      <c r="J283" s="16" t="s">
        <v>38</v>
      </c>
      <c r="K283" s="16" t="s">
        <v>293</v>
      </c>
      <c r="L283" s="15">
        <v>-2281138.3601105814</v>
      </c>
      <c r="M283" s="15">
        <v>-184794.28027333718</v>
      </c>
      <c r="N283" s="15">
        <v>-1950742.3369407523</v>
      </c>
      <c r="O283" s="15">
        <v>-330396.02316982858</v>
      </c>
      <c r="P283" s="15">
        <v>-330396.02316982858</v>
      </c>
      <c r="Q283" s="15">
        <f t="shared" si="16"/>
        <v>-330396.02316982858</v>
      </c>
      <c r="R283" s="15">
        <v>0</v>
      </c>
      <c r="S283" s="15">
        <f t="shared" si="17"/>
        <v>-330396.02316982858</v>
      </c>
      <c r="T283" s="16"/>
      <c r="U283" s="16"/>
    </row>
    <row r="284" spans="1:21" x14ac:dyDescent="0.25">
      <c r="A284" s="16" t="s">
        <v>37</v>
      </c>
      <c r="B284" s="16" t="s">
        <v>261</v>
      </c>
      <c r="C284" s="16" t="s">
        <v>262</v>
      </c>
      <c r="D284" s="16" t="s">
        <v>100</v>
      </c>
      <c r="E284" s="16" t="s">
        <v>101</v>
      </c>
      <c r="F284" s="16" t="s">
        <v>158</v>
      </c>
      <c r="G284" s="16" t="s">
        <v>159</v>
      </c>
      <c r="H284" s="16" t="s">
        <v>85</v>
      </c>
      <c r="I284" s="16" t="s">
        <v>40</v>
      </c>
      <c r="J284" s="16" t="s">
        <v>38</v>
      </c>
      <c r="K284" s="16" t="s">
        <v>293</v>
      </c>
      <c r="L284" s="15">
        <v>-2006909.5633346019</v>
      </c>
      <c r="M284" s="15">
        <v>-302105.9800000001</v>
      </c>
      <c r="N284" s="15">
        <v>-1761084.6034512641</v>
      </c>
      <c r="O284" s="15">
        <v>-245824.95988333825</v>
      </c>
      <c r="P284" s="15">
        <v>-245824.95988333825</v>
      </c>
      <c r="Q284" s="15">
        <f t="shared" si="16"/>
        <v>-245824.95988333825</v>
      </c>
      <c r="R284" s="15">
        <v>0</v>
      </c>
      <c r="S284" s="15">
        <f t="shared" si="17"/>
        <v>-245824.95988333825</v>
      </c>
      <c r="T284" s="16"/>
      <c r="U284" s="16"/>
    </row>
    <row r="285" spans="1:21" x14ac:dyDescent="0.25">
      <c r="A285" s="16" t="s">
        <v>37</v>
      </c>
      <c r="B285" s="16" t="s">
        <v>257</v>
      </c>
      <c r="C285" s="16" t="s">
        <v>258</v>
      </c>
      <c r="D285" s="16" t="s">
        <v>100</v>
      </c>
      <c r="E285" s="16" t="s">
        <v>101</v>
      </c>
      <c r="F285" s="16" t="s">
        <v>158</v>
      </c>
      <c r="G285" s="16" t="s">
        <v>159</v>
      </c>
      <c r="H285" s="16" t="s">
        <v>85</v>
      </c>
      <c r="I285" s="16" t="s">
        <v>40</v>
      </c>
      <c r="J285" s="16" t="s">
        <v>38</v>
      </c>
      <c r="K285" s="16" t="s">
        <v>293</v>
      </c>
      <c r="L285" s="15">
        <v>-8192376.3632892268</v>
      </c>
      <c r="M285" s="15">
        <v>-1316791.2857990065</v>
      </c>
      <c r="N285" s="15">
        <v>-4239680.8200947586</v>
      </c>
      <c r="O285" s="15">
        <v>-3952695.5431944667</v>
      </c>
      <c r="P285" s="15">
        <v>-3952695.5431944667</v>
      </c>
      <c r="Q285" s="15">
        <f>P285-R285+P282</f>
        <v>-3877428.1007749001</v>
      </c>
      <c r="R285" s="15">
        <v>0</v>
      </c>
      <c r="S285" s="15">
        <f t="shared" si="17"/>
        <v>-3877428.1007749001</v>
      </c>
      <c r="T285" s="16"/>
      <c r="U285" s="26"/>
    </row>
    <row r="286" spans="1:21" x14ac:dyDescent="0.25">
      <c r="A286" s="16" t="s">
        <v>37</v>
      </c>
      <c r="B286" s="16" t="s">
        <v>257</v>
      </c>
      <c r="C286" s="16" t="s">
        <v>258</v>
      </c>
      <c r="D286" s="16" t="s">
        <v>100</v>
      </c>
      <c r="E286" s="16" t="s">
        <v>101</v>
      </c>
      <c r="F286" s="16" t="s">
        <v>158</v>
      </c>
      <c r="G286" s="16" t="s">
        <v>159</v>
      </c>
      <c r="H286" s="16" t="s">
        <v>85</v>
      </c>
      <c r="I286" s="16" t="s">
        <v>40</v>
      </c>
      <c r="J286" s="16" t="s">
        <v>142</v>
      </c>
      <c r="K286" s="16" t="s">
        <v>143</v>
      </c>
      <c r="L286" s="15">
        <v>-8696843.3640000001</v>
      </c>
      <c r="M286" s="15">
        <v>-4230201.5</v>
      </c>
      <c r="N286" s="15">
        <v>-2948427.13</v>
      </c>
      <c r="O286" s="15">
        <v>-5748416.2340000002</v>
      </c>
      <c r="P286" s="15">
        <v>-4466641.8640000001</v>
      </c>
      <c r="Q286" s="15">
        <f t="shared" si="16"/>
        <v>-4466641.8640000001</v>
      </c>
      <c r="R286" s="15">
        <v>0</v>
      </c>
      <c r="S286" s="15">
        <f t="shared" si="17"/>
        <v>-4466641.8640000001</v>
      </c>
      <c r="T286" s="16"/>
      <c r="U286" s="26"/>
    </row>
    <row r="287" spans="1:21" x14ac:dyDescent="0.25">
      <c r="A287" s="16" t="s">
        <v>37</v>
      </c>
      <c r="B287" s="16" t="s">
        <v>269</v>
      </c>
      <c r="C287" s="16" t="s">
        <v>270</v>
      </c>
      <c r="D287" s="16" t="s">
        <v>100</v>
      </c>
      <c r="E287" s="16" t="s">
        <v>101</v>
      </c>
      <c r="F287" s="16" t="s">
        <v>158</v>
      </c>
      <c r="G287" s="16" t="s">
        <v>159</v>
      </c>
      <c r="H287" s="16" t="s">
        <v>85</v>
      </c>
      <c r="I287" s="16" t="s">
        <v>40</v>
      </c>
      <c r="J287" s="16" t="s">
        <v>130</v>
      </c>
      <c r="K287" s="16" t="s">
        <v>131</v>
      </c>
      <c r="L287" s="15">
        <v>-17758.650000061316</v>
      </c>
      <c r="M287" s="15">
        <v>-17758.650000061316</v>
      </c>
      <c r="N287" s="15">
        <v>0</v>
      </c>
      <c r="O287" s="15">
        <v>-17758.650000061316</v>
      </c>
      <c r="P287" s="15">
        <v>-17758.650000061316</v>
      </c>
      <c r="Q287" s="15">
        <f t="shared" si="16"/>
        <v>-17758.650000061316</v>
      </c>
      <c r="R287" s="15">
        <v>0</v>
      </c>
      <c r="S287" s="15">
        <f t="shared" si="17"/>
        <v>-17758.650000061316</v>
      </c>
      <c r="T287" s="16"/>
      <c r="U287" s="16"/>
    </row>
    <row r="288" spans="1:21" x14ac:dyDescent="0.25">
      <c r="A288" s="16" t="s">
        <v>37</v>
      </c>
      <c r="B288" s="16" t="s">
        <v>257</v>
      </c>
      <c r="C288" s="16" t="s">
        <v>258</v>
      </c>
      <c r="D288" s="16" t="s">
        <v>100</v>
      </c>
      <c r="E288" s="16" t="s">
        <v>101</v>
      </c>
      <c r="F288" s="16" t="s">
        <v>158</v>
      </c>
      <c r="G288" s="16" t="s">
        <v>159</v>
      </c>
      <c r="H288" s="16" t="s">
        <v>85</v>
      </c>
      <c r="I288" s="16" t="s">
        <v>40</v>
      </c>
      <c r="J288" s="16" t="s">
        <v>296</v>
      </c>
      <c r="K288" s="16" t="s">
        <v>297</v>
      </c>
      <c r="L288" s="15">
        <v>-7015.7269882530982</v>
      </c>
      <c r="M288" s="15">
        <v>-164.99519215000001</v>
      </c>
      <c r="N288" s="15">
        <v>-6760.75792</v>
      </c>
      <c r="O288" s="15">
        <v>-254.96906825309998</v>
      </c>
      <c r="P288" s="15">
        <v>-254.96906825309998</v>
      </c>
      <c r="Q288" s="15">
        <f t="shared" si="16"/>
        <v>-254.96906825309998</v>
      </c>
      <c r="R288" s="15">
        <v>0</v>
      </c>
      <c r="S288" s="15">
        <f t="shared" si="17"/>
        <v>-254.96906825309998</v>
      </c>
      <c r="T288" s="16"/>
      <c r="U288" s="26"/>
    </row>
    <row r="289" spans="1:21" x14ac:dyDescent="0.25">
      <c r="A289" s="16" t="s">
        <v>37</v>
      </c>
      <c r="B289" s="16" t="s">
        <v>269</v>
      </c>
      <c r="C289" s="16" t="s">
        <v>270</v>
      </c>
      <c r="D289" s="16" t="s">
        <v>100</v>
      </c>
      <c r="E289" s="16" t="s">
        <v>101</v>
      </c>
      <c r="F289" s="16" t="s">
        <v>158</v>
      </c>
      <c r="G289" s="16" t="s">
        <v>159</v>
      </c>
      <c r="H289" s="16" t="s">
        <v>85</v>
      </c>
      <c r="I289" s="16" t="s">
        <v>40</v>
      </c>
      <c r="J289" s="16" t="s">
        <v>124</v>
      </c>
      <c r="K289" s="16" t="s">
        <v>125</v>
      </c>
      <c r="L289" s="15">
        <v>-1748.581094210097</v>
      </c>
      <c r="M289" s="15">
        <v>0</v>
      </c>
      <c r="N289" s="15">
        <v>-1251.7799999999991</v>
      </c>
      <c r="O289" s="15">
        <v>-496.8010942100974</v>
      </c>
      <c r="P289" s="15">
        <v>0</v>
      </c>
      <c r="Q289" s="15">
        <f t="shared" si="16"/>
        <v>0</v>
      </c>
      <c r="R289" s="15">
        <v>0</v>
      </c>
      <c r="S289" s="15">
        <f t="shared" si="17"/>
        <v>0</v>
      </c>
      <c r="T289" s="16"/>
      <c r="U289" s="16"/>
    </row>
    <row r="290" spans="1:21" x14ac:dyDescent="0.25">
      <c r="A290" s="16" t="s">
        <v>37</v>
      </c>
      <c r="B290" s="16" t="s">
        <v>265</v>
      </c>
      <c r="C290" s="16" t="s">
        <v>266</v>
      </c>
      <c r="D290" s="16" t="s">
        <v>100</v>
      </c>
      <c r="E290" s="16" t="s">
        <v>101</v>
      </c>
      <c r="F290" s="16" t="s">
        <v>158</v>
      </c>
      <c r="G290" s="16" t="s">
        <v>159</v>
      </c>
      <c r="H290" s="16" t="s">
        <v>85</v>
      </c>
      <c r="I290" s="16" t="s">
        <v>40</v>
      </c>
      <c r="J290" s="16" t="s">
        <v>124</v>
      </c>
      <c r="K290" s="16" t="s">
        <v>125</v>
      </c>
      <c r="L290" s="15">
        <v>-167100.34283386247</v>
      </c>
      <c r="M290" s="15">
        <v>0</v>
      </c>
      <c r="N290" s="15">
        <v>-133652.98158624273</v>
      </c>
      <c r="O290" s="15">
        <v>-33447.361247619694</v>
      </c>
      <c r="P290" s="15">
        <v>0</v>
      </c>
      <c r="Q290" s="15">
        <f t="shared" si="16"/>
        <v>0</v>
      </c>
      <c r="R290" s="15">
        <v>0</v>
      </c>
      <c r="S290" s="15">
        <f t="shared" si="17"/>
        <v>0</v>
      </c>
      <c r="T290" s="16"/>
      <c r="U290" s="16"/>
    </row>
    <row r="291" spans="1:21" x14ac:dyDescent="0.25">
      <c r="A291" s="16" t="s">
        <v>37</v>
      </c>
      <c r="B291" s="16" t="s">
        <v>261</v>
      </c>
      <c r="C291" s="16" t="s">
        <v>262</v>
      </c>
      <c r="D291" s="16" t="s">
        <v>100</v>
      </c>
      <c r="E291" s="16" t="s">
        <v>101</v>
      </c>
      <c r="F291" s="16" t="s">
        <v>158</v>
      </c>
      <c r="G291" s="16" t="s">
        <v>159</v>
      </c>
      <c r="H291" s="16" t="s">
        <v>85</v>
      </c>
      <c r="I291" s="16" t="s">
        <v>40</v>
      </c>
      <c r="J291" s="16" t="s">
        <v>124</v>
      </c>
      <c r="K291" s="16" t="s">
        <v>125</v>
      </c>
      <c r="L291" s="15">
        <v>-96214.07520580999</v>
      </c>
      <c r="M291" s="15">
        <v>0</v>
      </c>
      <c r="N291" s="15">
        <v>-78653.756737646414</v>
      </c>
      <c r="O291" s="15">
        <v>-17560.31846816359</v>
      </c>
      <c r="P291" s="15">
        <v>0</v>
      </c>
      <c r="Q291" s="15">
        <f t="shared" si="16"/>
        <v>0</v>
      </c>
      <c r="R291" s="15">
        <v>0</v>
      </c>
      <c r="S291" s="15">
        <f t="shared" si="17"/>
        <v>0</v>
      </c>
      <c r="T291" s="16"/>
      <c r="U291" s="16"/>
    </row>
    <row r="292" spans="1:21" x14ac:dyDescent="0.25">
      <c r="A292" s="16" t="s">
        <v>37</v>
      </c>
      <c r="B292" s="16" t="s">
        <v>257</v>
      </c>
      <c r="C292" s="16" t="s">
        <v>258</v>
      </c>
      <c r="D292" s="16" t="s">
        <v>100</v>
      </c>
      <c r="E292" s="16" t="s">
        <v>101</v>
      </c>
      <c r="F292" s="16" t="s">
        <v>158</v>
      </c>
      <c r="G292" s="16" t="s">
        <v>159</v>
      </c>
      <c r="H292" s="16" t="s">
        <v>85</v>
      </c>
      <c r="I292" s="16" t="s">
        <v>40</v>
      </c>
      <c r="J292" s="16" t="s">
        <v>124</v>
      </c>
      <c r="K292" s="16" t="s">
        <v>125</v>
      </c>
      <c r="L292" s="15">
        <v>-199.56049999999999</v>
      </c>
      <c r="M292" s="15">
        <v>0</v>
      </c>
      <c r="N292" s="15">
        <v>-151.10341399999999</v>
      </c>
      <c r="O292" s="15">
        <v>-48.45708599999999</v>
      </c>
      <c r="P292" s="15">
        <v>0</v>
      </c>
      <c r="Q292" s="15">
        <f t="shared" si="16"/>
        <v>0</v>
      </c>
      <c r="R292" s="15">
        <v>0</v>
      </c>
      <c r="S292" s="15">
        <f t="shared" si="17"/>
        <v>0</v>
      </c>
      <c r="T292" s="16"/>
      <c r="U292" s="26"/>
    </row>
    <row r="293" spans="1:21" x14ac:dyDescent="0.25">
      <c r="A293" s="16" t="s">
        <v>37</v>
      </c>
      <c r="B293" s="16" t="s">
        <v>257</v>
      </c>
      <c r="C293" s="16" t="s">
        <v>258</v>
      </c>
      <c r="D293" s="16" t="s">
        <v>100</v>
      </c>
      <c r="E293" s="16" t="s">
        <v>101</v>
      </c>
      <c r="F293" s="16" t="s">
        <v>158</v>
      </c>
      <c r="G293" s="16" t="s">
        <v>159</v>
      </c>
      <c r="H293" s="16" t="s">
        <v>85</v>
      </c>
      <c r="I293" s="16" t="s">
        <v>40</v>
      </c>
      <c r="J293" s="16" t="s">
        <v>298</v>
      </c>
      <c r="K293" s="16" t="s">
        <v>299</v>
      </c>
      <c r="L293" s="15">
        <v>-11163.688846320003</v>
      </c>
      <c r="M293" s="15">
        <v>-456.9778740000001</v>
      </c>
      <c r="N293" s="15">
        <v>-7078.3110736617982</v>
      </c>
      <c r="O293" s="15">
        <v>-4085.3777726582034</v>
      </c>
      <c r="P293" s="15">
        <v>-4085.3777726582034</v>
      </c>
      <c r="Q293" s="15">
        <f t="shared" si="16"/>
        <v>-4085.3777726582034</v>
      </c>
      <c r="R293" s="15">
        <v>0</v>
      </c>
      <c r="S293" s="15">
        <f t="shared" si="17"/>
        <v>-4085.3777726582034</v>
      </c>
      <c r="T293" s="16"/>
      <c r="U293" s="26"/>
    </row>
    <row r="294" spans="1:21" x14ac:dyDescent="0.25">
      <c r="A294" s="16" t="s">
        <v>37</v>
      </c>
      <c r="B294" s="16" t="s">
        <v>269</v>
      </c>
      <c r="C294" s="16" t="s">
        <v>270</v>
      </c>
      <c r="D294" s="16" t="s">
        <v>100</v>
      </c>
      <c r="E294" s="16" t="s">
        <v>101</v>
      </c>
      <c r="F294" s="16" t="s">
        <v>158</v>
      </c>
      <c r="G294" s="16" t="s">
        <v>159</v>
      </c>
      <c r="H294" s="16" t="s">
        <v>85</v>
      </c>
      <c r="I294" s="16" t="s">
        <v>40</v>
      </c>
      <c r="J294" s="16" t="s">
        <v>132</v>
      </c>
      <c r="K294" s="16" t="s">
        <v>133</v>
      </c>
      <c r="L294" s="15">
        <v>-48281.162778849706</v>
      </c>
      <c r="M294" s="15">
        <v>-48281.162778849706</v>
      </c>
      <c r="N294" s="15">
        <v>-48281.169991194765</v>
      </c>
      <c r="O294" s="15">
        <v>7.212345067273418E-3</v>
      </c>
      <c r="P294" s="15">
        <v>0</v>
      </c>
      <c r="Q294" s="15">
        <f t="shared" si="16"/>
        <v>0</v>
      </c>
      <c r="R294" s="15">
        <v>0</v>
      </c>
      <c r="S294" s="15">
        <f t="shared" si="17"/>
        <v>0</v>
      </c>
      <c r="T294" s="16"/>
      <c r="U294" s="16"/>
    </row>
    <row r="295" spans="1:21" x14ac:dyDescent="0.25">
      <c r="A295" s="16" t="s">
        <v>37</v>
      </c>
      <c r="B295" s="16" t="s">
        <v>269</v>
      </c>
      <c r="C295" s="16" t="s">
        <v>270</v>
      </c>
      <c r="D295" s="16" t="s">
        <v>100</v>
      </c>
      <c r="E295" s="16" t="s">
        <v>101</v>
      </c>
      <c r="F295" s="16" t="s">
        <v>158</v>
      </c>
      <c r="G295" s="16" t="s">
        <v>159</v>
      </c>
      <c r="H295" s="16" t="s">
        <v>85</v>
      </c>
      <c r="I295" s="16" t="s">
        <v>40</v>
      </c>
      <c r="J295" s="16" t="s">
        <v>64</v>
      </c>
      <c r="K295" s="16" t="s">
        <v>65</v>
      </c>
      <c r="L295" s="15">
        <v>-104248.26447450178</v>
      </c>
      <c r="M295" s="15">
        <v>0</v>
      </c>
      <c r="N295" s="15">
        <v>-97748.279845108191</v>
      </c>
      <c r="O295" s="15">
        <v>-6499.9846293935816</v>
      </c>
      <c r="P295" s="15">
        <v>-6499.9846293935816</v>
      </c>
      <c r="Q295" s="15">
        <f t="shared" si="16"/>
        <v>-6499.9846293935816</v>
      </c>
      <c r="R295" s="15">
        <v>0</v>
      </c>
      <c r="S295" s="15">
        <f t="shared" si="17"/>
        <v>-6499.9846293935816</v>
      </c>
      <c r="T295" s="16"/>
      <c r="U295" s="16"/>
    </row>
    <row r="296" spans="1:21" x14ac:dyDescent="0.25">
      <c r="A296" s="16" t="s">
        <v>37</v>
      </c>
      <c r="B296" s="16" t="s">
        <v>269</v>
      </c>
      <c r="C296" s="16" t="s">
        <v>270</v>
      </c>
      <c r="D296" s="16" t="s">
        <v>100</v>
      </c>
      <c r="E296" s="16" t="s">
        <v>101</v>
      </c>
      <c r="F296" s="16" t="s">
        <v>158</v>
      </c>
      <c r="G296" s="16" t="s">
        <v>159</v>
      </c>
      <c r="H296" s="16" t="s">
        <v>85</v>
      </c>
      <c r="I296" s="16" t="s">
        <v>40</v>
      </c>
      <c r="J296" s="16" t="s">
        <v>66</v>
      </c>
      <c r="K296" s="16" t="s">
        <v>63</v>
      </c>
      <c r="L296" s="15">
        <v>-50363.076552686252</v>
      </c>
      <c r="M296" s="15">
        <v>-50363.076552686252</v>
      </c>
      <c r="N296" s="15">
        <v>-50363.059957296675</v>
      </c>
      <c r="O296" s="15">
        <v>-1.6595389580288611E-2</v>
      </c>
      <c r="P296" s="15">
        <v>0</v>
      </c>
      <c r="Q296" s="15">
        <f t="shared" si="16"/>
        <v>0</v>
      </c>
      <c r="R296" s="15">
        <v>0</v>
      </c>
      <c r="S296" s="15">
        <f t="shared" si="17"/>
        <v>0</v>
      </c>
      <c r="T296" s="16"/>
      <c r="U296" s="16"/>
    </row>
    <row r="297" spans="1:21" x14ac:dyDescent="0.25">
      <c r="A297" s="16" t="s">
        <v>37</v>
      </c>
      <c r="B297" s="16" t="s">
        <v>269</v>
      </c>
      <c r="C297" s="16" t="s">
        <v>270</v>
      </c>
      <c r="D297" s="16" t="s">
        <v>100</v>
      </c>
      <c r="E297" s="16" t="s">
        <v>101</v>
      </c>
      <c r="F297" s="16" t="s">
        <v>158</v>
      </c>
      <c r="G297" s="16" t="s">
        <v>159</v>
      </c>
      <c r="H297" s="16" t="s">
        <v>85</v>
      </c>
      <c r="I297" s="16" t="s">
        <v>40</v>
      </c>
      <c r="J297" s="16" t="s">
        <v>67</v>
      </c>
      <c r="K297" s="16" t="s">
        <v>68</v>
      </c>
      <c r="L297" s="15">
        <v>-2100</v>
      </c>
      <c r="M297" s="15">
        <v>0</v>
      </c>
      <c r="N297" s="15">
        <v>-2012.33</v>
      </c>
      <c r="O297" s="15">
        <v>-87.670000000000073</v>
      </c>
      <c r="P297" s="15">
        <v>-87.670000000000073</v>
      </c>
      <c r="Q297" s="15">
        <f t="shared" si="16"/>
        <v>-87.670000000000073</v>
      </c>
      <c r="R297" s="15">
        <v>0</v>
      </c>
      <c r="S297" s="15">
        <f t="shared" si="17"/>
        <v>-87.670000000000073</v>
      </c>
      <c r="T297" s="16"/>
      <c r="U297" s="16"/>
    </row>
    <row r="298" spans="1:21" x14ac:dyDescent="0.25">
      <c r="A298" s="16" t="s">
        <v>37</v>
      </c>
      <c r="B298" s="16" t="s">
        <v>257</v>
      </c>
      <c r="C298" s="16" t="s">
        <v>258</v>
      </c>
      <c r="D298" s="16" t="s">
        <v>100</v>
      </c>
      <c r="E298" s="16" t="s">
        <v>101</v>
      </c>
      <c r="F298" s="16" t="s">
        <v>158</v>
      </c>
      <c r="G298" s="16" t="s">
        <v>159</v>
      </c>
      <c r="H298" s="16" t="s">
        <v>85</v>
      </c>
      <c r="I298" s="16" t="s">
        <v>40</v>
      </c>
      <c r="J298" s="16" t="s">
        <v>67</v>
      </c>
      <c r="K298" s="16" t="s">
        <v>68</v>
      </c>
      <c r="L298" s="15">
        <v>-6454.9999999999991</v>
      </c>
      <c r="M298" s="15">
        <v>0</v>
      </c>
      <c r="N298" s="15">
        <v>0</v>
      </c>
      <c r="O298" s="15">
        <v>-6454.9999999999991</v>
      </c>
      <c r="P298" s="15">
        <v>-6454.9999999999991</v>
      </c>
      <c r="Q298" s="15">
        <f t="shared" si="16"/>
        <v>-6454.9999999999991</v>
      </c>
      <c r="R298" s="15">
        <v>0</v>
      </c>
      <c r="S298" s="15">
        <f t="shared" si="17"/>
        <v>-6454.9999999999991</v>
      </c>
      <c r="T298" s="16"/>
      <c r="U298" s="26"/>
    </row>
    <row r="299" spans="1:21" x14ac:dyDescent="0.25">
      <c r="A299" s="16" t="s">
        <v>37</v>
      </c>
      <c r="B299" s="16" t="s">
        <v>269</v>
      </c>
      <c r="C299" s="16" t="s">
        <v>270</v>
      </c>
      <c r="D299" s="16" t="s">
        <v>100</v>
      </c>
      <c r="E299" s="16" t="s">
        <v>101</v>
      </c>
      <c r="F299" s="16" t="s">
        <v>158</v>
      </c>
      <c r="G299" s="16" t="s">
        <v>159</v>
      </c>
      <c r="H299" s="16" t="s">
        <v>85</v>
      </c>
      <c r="I299" s="16" t="s">
        <v>40</v>
      </c>
      <c r="J299" s="16" t="s">
        <v>69</v>
      </c>
      <c r="K299" s="16" t="s">
        <v>70</v>
      </c>
      <c r="L299" s="15">
        <v>-2083.5078108136386</v>
      </c>
      <c r="M299" s="15">
        <v>-2083.5078108136386</v>
      </c>
      <c r="N299" s="15">
        <v>-2083.5099963028792</v>
      </c>
      <c r="O299" s="15">
        <v>2.1854892401904635E-3</v>
      </c>
      <c r="P299" s="15">
        <v>0</v>
      </c>
      <c r="Q299" s="15">
        <f t="shared" si="16"/>
        <v>0</v>
      </c>
      <c r="R299" s="15">
        <v>0</v>
      </c>
      <c r="S299" s="15">
        <f t="shared" si="17"/>
        <v>0</v>
      </c>
      <c r="T299" s="16"/>
      <c r="U299" s="15">
        <f t="shared" ref="U299:U301" si="19">O299</f>
        <v>2.1854892401904635E-3</v>
      </c>
    </row>
    <row r="300" spans="1:21" x14ac:dyDescent="0.25">
      <c r="A300" s="16" t="s">
        <v>37</v>
      </c>
      <c r="B300" s="16" t="s">
        <v>261</v>
      </c>
      <c r="C300" s="16" t="s">
        <v>262</v>
      </c>
      <c r="D300" s="16" t="s">
        <v>100</v>
      </c>
      <c r="E300" s="16" t="s">
        <v>101</v>
      </c>
      <c r="F300" s="16" t="s">
        <v>158</v>
      </c>
      <c r="G300" s="16" t="s">
        <v>159</v>
      </c>
      <c r="H300" s="16" t="s">
        <v>85</v>
      </c>
      <c r="I300" s="16" t="s">
        <v>40</v>
      </c>
      <c r="J300" s="16" t="s">
        <v>69</v>
      </c>
      <c r="K300" s="16" t="s">
        <v>70</v>
      </c>
      <c r="L300" s="15">
        <v>-9443.0799979809999</v>
      </c>
      <c r="M300" s="15">
        <v>-9443.08</v>
      </c>
      <c r="N300" s="15">
        <v>-9737.7222000000002</v>
      </c>
      <c r="O300" s="15">
        <v>294.64220201900116</v>
      </c>
      <c r="P300" s="15">
        <v>0</v>
      </c>
      <c r="Q300" s="15">
        <f t="shared" si="16"/>
        <v>0</v>
      </c>
      <c r="R300" s="15">
        <v>0</v>
      </c>
      <c r="S300" s="15">
        <f t="shared" si="17"/>
        <v>0</v>
      </c>
      <c r="T300" s="16"/>
      <c r="U300" s="15">
        <f t="shared" si="19"/>
        <v>294.64220201900116</v>
      </c>
    </row>
    <row r="301" spans="1:21" x14ac:dyDescent="0.25">
      <c r="A301" s="16" t="s">
        <v>37</v>
      </c>
      <c r="B301" s="16" t="s">
        <v>257</v>
      </c>
      <c r="C301" s="16" t="s">
        <v>258</v>
      </c>
      <c r="D301" s="16" t="s">
        <v>100</v>
      </c>
      <c r="E301" s="16" t="s">
        <v>101</v>
      </c>
      <c r="F301" s="16" t="s">
        <v>158</v>
      </c>
      <c r="G301" s="16" t="s">
        <v>159</v>
      </c>
      <c r="H301" s="16" t="s">
        <v>85</v>
      </c>
      <c r="I301" s="16" t="s">
        <v>40</v>
      </c>
      <c r="J301" s="16" t="s">
        <v>69</v>
      </c>
      <c r="K301" s="16" t="s">
        <v>70</v>
      </c>
      <c r="L301" s="15">
        <v>-4301.723524</v>
      </c>
      <c r="M301" s="15">
        <v>-4301.723524</v>
      </c>
      <c r="N301" s="15">
        <v>-4247.2811782800018</v>
      </c>
      <c r="O301" s="15">
        <v>-54.442345719998684</v>
      </c>
      <c r="P301" s="15">
        <v>0</v>
      </c>
      <c r="Q301" s="15">
        <f t="shared" si="16"/>
        <v>0</v>
      </c>
      <c r="R301" s="15">
        <v>0</v>
      </c>
      <c r="S301" s="15">
        <f t="shared" si="17"/>
        <v>0</v>
      </c>
      <c r="T301" s="16"/>
      <c r="U301" s="15">
        <f t="shared" si="19"/>
        <v>-54.442345719998684</v>
      </c>
    </row>
    <row r="302" spans="1:21" x14ac:dyDescent="0.25">
      <c r="A302" s="16" t="s">
        <v>37</v>
      </c>
      <c r="B302" s="16" t="s">
        <v>257</v>
      </c>
      <c r="C302" s="16" t="s">
        <v>258</v>
      </c>
      <c r="D302" s="16" t="s">
        <v>100</v>
      </c>
      <c r="E302" s="16" t="s">
        <v>101</v>
      </c>
      <c r="F302" s="16" t="s">
        <v>158</v>
      </c>
      <c r="G302" s="16" t="s">
        <v>159</v>
      </c>
      <c r="H302" s="16" t="s">
        <v>85</v>
      </c>
      <c r="I302" s="16" t="s">
        <v>40</v>
      </c>
      <c r="J302" s="16" t="s">
        <v>136</v>
      </c>
      <c r="K302" s="16" t="s">
        <v>137</v>
      </c>
      <c r="L302" s="15">
        <v>-60558.100000000035</v>
      </c>
      <c r="M302" s="15">
        <v>0</v>
      </c>
      <c r="N302" s="15">
        <v>-60558.100000000006</v>
      </c>
      <c r="O302" s="15">
        <v>-3.092281986027956E-11</v>
      </c>
      <c r="P302" s="15">
        <v>-3.092281986027956E-11</v>
      </c>
      <c r="Q302" s="15">
        <f t="shared" si="16"/>
        <v>-3.092281986027956E-11</v>
      </c>
      <c r="R302" s="15">
        <v>0</v>
      </c>
      <c r="S302" s="15">
        <f t="shared" si="17"/>
        <v>-3.092281986027956E-11</v>
      </c>
      <c r="T302" s="16"/>
      <c r="U302" s="26"/>
    </row>
    <row r="303" spans="1:21" x14ac:dyDescent="0.25">
      <c r="A303" s="16" t="s">
        <v>37</v>
      </c>
      <c r="B303" s="16" t="s">
        <v>265</v>
      </c>
      <c r="C303" s="16" t="s">
        <v>266</v>
      </c>
      <c r="D303" s="16" t="s">
        <v>100</v>
      </c>
      <c r="E303" s="16" t="s">
        <v>101</v>
      </c>
      <c r="F303" s="16" t="s">
        <v>158</v>
      </c>
      <c r="G303" s="16" t="s">
        <v>159</v>
      </c>
      <c r="H303" s="16" t="s">
        <v>85</v>
      </c>
      <c r="I303" s="16" t="s">
        <v>40</v>
      </c>
      <c r="J303" s="16" t="s">
        <v>138</v>
      </c>
      <c r="K303" s="16" t="s">
        <v>139</v>
      </c>
      <c r="L303" s="15">
        <v>-1844.5306047294632</v>
      </c>
      <c r="M303" s="15">
        <v>0</v>
      </c>
      <c r="N303" s="15">
        <v>-1844.530604729463</v>
      </c>
      <c r="O303" s="15">
        <v>-7.815970093361102E-14</v>
      </c>
      <c r="P303" s="15">
        <v>0</v>
      </c>
      <c r="Q303" s="15">
        <f t="shared" si="16"/>
        <v>0</v>
      </c>
      <c r="R303" s="15">
        <v>0</v>
      </c>
      <c r="S303" s="15">
        <f t="shared" si="17"/>
        <v>0</v>
      </c>
      <c r="T303" s="16"/>
      <c r="U303" s="16"/>
    </row>
    <row r="304" spans="1:21" x14ac:dyDescent="0.25">
      <c r="A304" s="28" t="s">
        <v>37</v>
      </c>
      <c r="B304" s="28" t="s">
        <v>269</v>
      </c>
      <c r="C304" s="28" t="s">
        <v>270</v>
      </c>
      <c r="D304" s="28" t="s">
        <v>100</v>
      </c>
      <c r="E304" s="28" t="s">
        <v>101</v>
      </c>
      <c r="F304" s="28" t="s">
        <v>160</v>
      </c>
      <c r="G304" s="28" t="s">
        <v>161</v>
      </c>
      <c r="H304" s="28" t="s">
        <v>85</v>
      </c>
      <c r="I304" s="28" t="s">
        <v>40</v>
      </c>
      <c r="J304" s="28" t="s">
        <v>38</v>
      </c>
      <c r="K304" s="28" t="s">
        <v>293</v>
      </c>
      <c r="L304" s="29">
        <v>-758714.28776314389</v>
      </c>
      <c r="M304" s="29">
        <v>-74929.96640269905</v>
      </c>
      <c r="N304" s="29">
        <v>-643323.870134025</v>
      </c>
      <c r="O304" s="29">
        <v>-115390.41762911901</v>
      </c>
      <c r="P304" s="29">
        <v>-115390.41762911901</v>
      </c>
      <c r="Q304" s="29">
        <f>P304+115390</f>
        <v>-0.41762911900877953</v>
      </c>
      <c r="R304" s="15">
        <v>0</v>
      </c>
      <c r="S304" s="15">
        <f t="shared" si="17"/>
        <v>-0.41762911900877953</v>
      </c>
      <c r="T304" s="16"/>
      <c r="U304" s="16"/>
    </row>
    <row r="305" spans="1:21" x14ac:dyDescent="0.25">
      <c r="A305" s="16" t="s">
        <v>37</v>
      </c>
      <c r="B305" s="16" t="s">
        <v>265</v>
      </c>
      <c r="C305" s="16" t="s">
        <v>266</v>
      </c>
      <c r="D305" s="16" t="s">
        <v>100</v>
      </c>
      <c r="E305" s="16" t="s">
        <v>101</v>
      </c>
      <c r="F305" s="16" t="s">
        <v>160</v>
      </c>
      <c r="G305" s="16" t="s">
        <v>161</v>
      </c>
      <c r="H305" s="16" t="s">
        <v>85</v>
      </c>
      <c r="I305" s="16" t="s">
        <v>40</v>
      </c>
      <c r="J305" s="16" t="s">
        <v>38</v>
      </c>
      <c r="K305" s="16" t="s">
        <v>293</v>
      </c>
      <c r="L305" s="15">
        <v>-7211899.9464389114</v>
      </c>
      <c r="M305" s="15">
        <v>-830951.00000000012</v>
      </c>
      <c r="N305" s="15">
        <v>-6251350.177001833</v>
      </c>
      <c r="O305" s="15">
        <v>-960549.76943707652</v>
      </c>
      <c r="P305" s="15">
        <v>-960549.76943707652</v>
      </c>
      <c r="Q305" s="15">
        <f t="shared" si="16"/>
        <v>-960549.76943707652</v>
      </c>
      <c r="R305" s="15">
        <v>0</v>
      </c>
      <c r="S305" s="15">
        <f t="shared" si="17"/>
        <v>-960549.76943707652</v>
      </c>
      <c r="T305" s="16"/>
      <c r="U305" s="16"/>
    </row>
    <row r="306" spans="1:21" x14ac:dyDescent="0.25">
      <c r="A306" s="16" t="s">
        <v>37</v>
      </c>
      <c r="B306" s="16" t="s">
        <v>261</v>
      </c>
      <c r="C306" s="16" t="s">
        <v>262</v>
      </c>
      <c r="D306" s="16" t="s">
        <v>100</v>
      </c>
      <c r="E306" s="16" t="s">
        <v>101</v>
      </c>
      <c r="F306" s="16" t="s">
        <v>160</v>
      </c>
      <c r="G306" s="16" t="s">
        <v>161</v>
      </c>
      <c r="H306" s="16" t="s">
        <v>85</v>
      </c>
      <c r="I306" s="16" t="s">
        <v>40</v>
      </c>
      <c r="J306" s="16" t="s">
        <v>38</v>
      </c>
      <c r="K306" s="16" t="s">
        <v>293</v>
      </c>
      <c r="L306" s="15">
        <v>-1001257.1595100525</v>
      </c>
      <c r="M306" s="15">
        <v>-88.32</v>
      </c>
      <c r="N306" s="15">
        <v>-981154.79403050733</v>
      </c>
      <c r="O306" s="15">
        <v>-20102.365479545435</v>
      </c>
      <c r="P306" s="15">
        <v>-20102.365479545435</v>
      </c>
      <c r="Q306" s="15">
        <f t="shared" si="16"/>
        <v>-20102.365479545435</v>
      </c>
      <c r="R306" s="15">
        <v>0</v>
      </c>
      <c r="S306" s="15">
        <f t="shared" si="17"/>
        <v>-20102.365479545435</v>
      </c>
      <c r="T306" s="16"/>
      <c r="U306" s="16"/>
    </row>
    <row r="307" spans="1:21" x14ac:dyDescent="0.25">
      <c r="A307" s="16" t="s">
        <v>37</v>
      </c>
      <c r="B307" s="16" t="s">
        <v>257</v>
      </c>
      <c r="C307" s="16" t="s">
        <v>258</v>
      </c>
      <c r="D307" s="16" t="s">
        <v>100</v>
      </c>
      <c r="E307" s="16" t="s">
        <v>101</v>
      </c>
      <c r="F307" s="16" t="s">
        <v>160</v>
      </c>
      <c r="G307" s="16" t="s">
        <v>161</v>
      </c>
      <c r="H307" s="16" t="s">
        <v>85</v>
      </c>
      <c r="I307" s="16" t="s">
        <v>40</v>
      </c>
      <c r="J307" s="16" t="s">
        <v>38</v>
      </c>
      <c r="K307" s="16" t="s">
        <v>293</v>
      </c>
      <c r="L307" s="15">
        <v>-2597604.3775692745</v>
      </c>
      <c r="M307" s="15">
        <v>-676917.35105543374</v>
      </c>
      <c r="N307" s="15">
        <v>-1809766.96387624</v>
      </c>
      <c r="O307" s="15">
        <v>-787837.41369303502</v>
      </c>
      <c r="P307" s="15">
        <v>-787837.41369303502</v>
      </c>
      <c r="Q307" s="15">
        <f>P307-R307+P304</f>
        <v>-903227.83132215403</v>
      </c>
      <c r="R307" s="15">
        <v>0</v>
      </c>
      <c r="S307" s="15">
        <f t="shared" si="17"/>
        <v>-903227.83132215403</v>
      </c>
      <c r="T307" s="16"/>
      <c r="U307" s="26"/>
    </row>
    <row r="308" spans="1:21" x14ac:dyDescent="0.25">
      <c r="A308" s="16" t="s">
        <v>37</v>
      </c>
      <c r="B308" s="16" t="s">
        <v>257</v>
      </c>
      <c r="C308" s="16" t="s">
        <v>258</v>
      </c>
      <c r="D308" s="16" t="s">
        <v>100</v>
      </c>
      <c r="E308" s="16" t="s">
        <v>101</v>
      </c>
      <c r="F308" s="16" t="s">
        <v>160</v>
      </c>
      <c r="G308" s="16" t="s">
        <v>161</v>
      </c>
      <c r="H308" s="16" t="s">
        <v>85</v>
      </c>
      <c r="I308" s="16" t="s">
        <v>40</v>
      </c>
      <c r="J308" s="16" t="s">
        <v>300</v>
      </c>
      <c r="K308" s="16" t="s">
        <v>301</v>
      </c>
      <c r="L308" s="15">
        <v>-8050.8474576271183</v>
      </c>
      <c r="M308" s="15">
        <v>0</v>
      </c>
      <c r="N308" s="15">
        <v>-13050.850000000002</v>
      </c>
      <c r="O308" s="15">
        <v>5000.0025423728821</v>
      </c>
      <c r="P308" s="15">
        <f>O308</f>
        <v>5000.0025423728821</v>
      </c>
      <c r="Q308" s="15">
        <v>0</v>
      </c>
      <c r="R308" s="15">
        <v>0</v>
      </c>
      <c r="S308" s="15">
        <f t="shared" si="17"/>
        <v>0</v>
      </c>
      <c r="T308" s="16"/>
      <c r="U308" s="26"/>
    </row>
    <row r="309" spans="1:21" x14ac:dyDescent="0.25">
      <c r="A309" s="16" t="s">
        <v>37</v>
      </c>
      <c r="B309" s="16" t="s">
        <v>257</v>
      </c>
      <c r="C309" s="16" t="s">
        <v>258</v>
      </c>
      <c r="D309" s="16" t="s">
        <v>100</v>
      </c>
      <c r="E309" s="16" t="s">
        <v>101</v>
      </c>
      <c r="F309" s="16" t="s">
        <v>160</v>
      </c>
      <c r="G309" s="16" t="s">
        <v>161</v>
      </c>
      <c r="H309" s="16" t="s">
        <v>85</v>
      </c>
      <c r="I309" s="16" t="s">
        <v>40</v>
      </c>
      <c r="J309" s="16" t="s">
        <v>142</v>
      </c>
      <c r="K309" s="16" t="s">
        <v>143</v>
      </c>
      <c r="L309" s="15">
        <v>-9151.155999999999</v>
      </c>
      <c r="M309" s="15">
        <v>0</v>
      </c>
      <c r="N309" s="15">
        <v>0</v>
      </c>
      <c r="O309" s="15">
        <v>-9151.155999999999</v>
      </c>
      <c r="P309" s="15">
        <v>-9151.155999999999</v>
      </c>
      <c r="Q309" s="15">
        <f t="shared" si="16"/>
        <v>-9151.155999999999</v>
      </c>
      <c r="R309" s="15">
        <v>0</v>
      </c>
      <c r="S309" s="15">
        <f t="shared" si="17"/>
        <v>-9151.155999999999</v>
      </c>
      <c r="T309" s="16"/>
      <c r="U309" s="26"/>
    </row>
    <row r="310" spans="1:21" x14ac:dyDescent="0.25">
      <c r="A310" s="16" t="s">
        <v>37</v>
      </c>
      <c r="B310" s="16" t="s">
        <v>269</v>
      </c>
      <c r="C310" s="16" t="s">
        <v>270</v>
      </c>
      <c r="D310" s="16" t="s">
        <v>100</v>
      </c>
      <c r="E310" s="16" t="s">
        <v>101</v>
      </c>
      <c r="F310" s="16" t="s">
        <v>160</v>
      </c>
      <c r="G310" s="16" t="s">
        <v>161</v>
      </c>
      <c r="H310" s="16" t="s">
        <v>85</v>
      </c>
      <c r="I310" s="16" t="s">
        <v>40</v>
      </c>
      <c r="J310" s="16" t="s">
        <v>130</v>
      </c>
      <c r="K310" s="16" t="s">
        <v>131</v>
      </c>
      <c r="L310" s="15">
        <v>-37370.020000129021</v>
      </c>
      <c r="M310" s="15">
        <v>-37370.020000129021</v>
      </c>
      <c r="N310" s="15">
        <v>-31244</v>
      </c>
      <c r="O310" s="15">
        <v>-6126.0200001290232</v>
      </c>
      <c r="P310" s="15">
        <v>-6126.0200001290232</v>
      </c>
      <c r="Q310" s="15">
        <f t="shared" si="16"/>
        <v>-6126.0200001290232</v>
      </c>
      <c r="R310" s="15">
        <v>0</v>
      </c>
      <c r="S310" s="15">
        <f t="shared" si="17"/>
        <v>-6126.0200001290232</v>
      </c>
      <c r="T310" s="16"/>
      <c r="U310" s="16"/>
    </row>
    <row r="311" spans="1:21" x14ac:dyDescent="0.25">
      <c r="A311" s="16" t="s">
        <v>37</v>
      </c>
      <c r="B311" s="16" t="s">
        <v>257</v>
      </c>
      <c r="C311" s="16" t="s">
        <v>258</v>
      </c>
      <c r="D311" s="16" t="s">
        <v>100</v>
      </c>
      <c r="E311" s="16" t="s">
        <v>101</v>
      </c>
      <c r="F311" s="16" t="s">
        <v>160</v>
      </c>
      <c r="G311" s="16" t="s">
        <v>161</v>
      </c>
      <c r="H311" s="16" t="s">
        <v>85</v>
      </c>
      <c r="I311" s="16" t="s">
        <v>40</v>
      </c>
      <c r="J311" s="16" t="s">
        <v>296</v>
      </c>
      <c r="K311" s="16" t="s">
        <v>297</v>
      </c>
      <c r="L311" s="15">
        <v>-74122.2099432994</v>
      </c>
      <c r="M311" s="15">
        <v>-3168.3332761000001</v>
      </c>
      <c r="N311" s="15">
        <v>-73904.209575999994</v>
      </c>
      <c r="O311" s="15">
        <v>-218.00036729940621</v>
      </c>
      <c r="P311" s="15">
        <v>-218.00036729940621</v>
      </c>
      <c r="Q311" s="15">
        <f t="shared" si="16"/>
        <v>-218.00036729940621</v>
      </c>
      <c r="R311" s="15">
        <v>0</v>
      </c>
      <c r="S311" s="15">
        <f t="shared" si="17"/>
        <v>-218.00036729940621</v>
      </c>
      <c r="T311" s="16"/>
      <c r="U311" s="26"/>
    </row>
    <row r="312" spans="1:21" x14ac:dyDescent="0.25">
      <c r="A312" s="16" t="s">
        <v>37</v>
      </c>
      <c r="B312" s="16" t="s">
        <v>269</v>
      </c>
      <c r="C312" s="16" t="s">
        <v>270</v>
      </c>
      <c r="D312" s="16" t="s">
        <v>100</v>
      </c>
      <c r="E312" s="16" t="s">
        <v>101</v>
      </c>
      <c r="F312" s="16" t="s">
        <v>160</v>
      </c>
      <c r="G312" s="16" t="s">
        <v>161</v>
      </c>
      <c r="H312" s="16" t="s">
        <v>85</v>
      </c>
      <c r="I312" s="16" t="s">
        <v>40</v>
      </c>
      <c r="J312" s="16" t="s">
        <v>124</v>
      </c>
      <c r="K312" s="16" t="s">
        <v>125</v>
      </c>
      <c r="L312" s="15">
        <v>-2642.4256773969646</v>
      </c>
      <c r="M312" s="15">
        <v>0</v>
      </c>
      <c r="N312" s="15">
        <v>-1827.0099999999989</v>
      </c>
      <c r="O312" s="15">
        <v>-815.41567739696575</v>
      </c>
      <c r="P312" s="15">
        <v>0</v>
      </c>
      <c r="Q312" s="15">
        <f t="shared" si="16"/>
        <v>0</v>
      </c>
      <c r="R312" s="15">
        <v>0</v>
      </c>
      <c r="S312" s="15">
        <f t="shared" si="17"/>
        <v>0</v>
      </c>
      <c r="T312" s="16"/>
      <c r="U312" s="16"/>
    </row>
    <row r="313" spans="1:21" x14ac:dyDescent="0.25">
      <c r="A313" s="16" t="s">
        <v>37</v>
      </c>
      <c r="B313" s="16" t="s">
        <v>265</v>
      </c>
      <c r="C313" s="16" t="s">
        <v>266</v>
      </c>
      <c r="D313" s="16" t="s">
        <v>100</v>
      </c>
      <c r="E313" s="16" t="s">
        <v>101</v>
      </c>
      <c r="F313" s="16" t="s">
        <v>160</v>
      </c>
      <c r="G313" s="16" t="s">
        <v>161</v>
      </c>
      <c r="H313" s="16" t="s">
        <v>85</v>
      </c>
      <c r="I313" s="16" t="s">
        <v>40</v>
      </c>
      <c r="J313" s="16" t="s">
        <v>124</v>
      </c>
      <c r="K313" s="16" t="s">
        <v>125</v>
      </c>
      <c r="L313" s="15">
        <v>-597783.81376678299</v>
      </c>
      <c r="M313" s="15">
        <v>0</v>
      </c>
      <c r="N313" s="15">
        <v>-466905.43004973268</v>
      </c>
      <c r="O313" s="15">
        <v>-130878.38371705041</v>
      </c>
      <c r="P313" s="15">
        <v>0</v>
      </c>
      <c r="Q313" s="15">
        <f t="shared" si="16"/>
        <v>0</v>
      </c>
      <c r="R313" s="15">
        <v>0</v>
      </c>
      <c r="S313" s="15">
        <f t="shared" si="17"/>
        <v>0</v>
      </c>
      <c r="T313" s="16"/>
      <c r="U313" s="16"/>
    </row>
    <row r="314" spans="1:21" x14ac:dyDescent="0.25">
      <c r="A314" s="16" t="s">
        <v>37</v>
      </c>
      <c r="B314" s="16" t="s">
        <v>261</v>
      </c>
      <c r="C314" s="16" t="s">
        <v>262</v>
      </c>
      <c r="D314" s="16" t="s">
        <v>100</v>
      </c>
      <c r="E314" s="16" t="s">
        <v>101</v>
      </c>
      <c r="F314" s="16" t="s">
        <v>160</v>
      </c>
      <c r="G314" s="16" t="s">
        <v>161</v>
      </c>
      <c r="H314" s="16" t="s">
        <v>85</v>
      </c>
      <c r="I314" s="16" t="s">
        <v>40</v>
      </c>
      <c r="J314" s="16" t="s">
        <v>124</v>
      </c>
      <c r="K314" s="16" t="s">
        <v>125</v>
      </c>
      <c r="L314" s="15">
        <v>-61624.329715939995</v>
      </c>
      <c r="M314" s="15">
        <v>0</v>
      </c>
      <c r="N314" s="15">
        <v>-50414.320611345596</v>
      </c>
      <c r="O314" s="15">
        <v>-11210.009104594392</v>
      </c>
      <c r="P314" s="15">
        <v>0</v>
      </c>
      <c r="Q314" s="15">
        <f t="shared" si="16"/>
        <v>0</v>
      </c>
      <c r="R314" s="15">
        <v>0</v>
      </c>
      <c r="S314" s="15">
        <f t="shared" si="17"/>
        <v>0</v>
      </c>
      <c r="T314" s="16"/>
      <c r="U314" s="16"/>
    </row>
    <row r="315" spans="1:21" x14ac:dyDescent="0.25">
      <c r="A315" s="16" t="s">
        <v>37</v>
      </c>
      <c r="B315" s="16" t="s">
        <v>257</v>
      </c>
      <c r="C315" s="16" t="s">
        <v>258</v>
      </c>
      <c r="D315" s="16" t="s">
        <v>100</v>
      </c>
      <c r="E315" s="16" t="s">
        <v>101</v>
      </c>
      <c r="F315" s="16" t="s">
        <v>160</v>
      </c>
      <c r="G315" s="16" t="s">
        <v>161</v>
      </c>
      <c r="H315" s="16" t="s">
        <v>85</v>
      </c>
      <c r="I315" s="16" t="s">
        <v>40</v>
      </c>
      <c r="J315" s="16" t="s">
        <v>124</v>
      </c>
      <c r="K315" s="16" t="s">
        <v>125</v>
      </c>
      <c r="L315" s="15">
        <v>-142.56540000000001</v>
      </c>
      <c r="M315" s="15">
        <v>0</v>
      </c>
      <c r="N315" s="15">
        <v>-107.914728</v>
      </c>
      <c r="O315" s="15">
        <v>-34.650672000000007</v>
      </c>
      <c r="P315" s="15">
        <v>0</v>
      </c>
      <c r="Q315" s="15">
        <f t="shared" si="16"/>
        <v>0</v>
      </c>
      <c r="R315" s="15">
        <v>0</v>
      </c>
      <c r="S315" s="15">
        <f t="shared" si="17"/>
        <v>0</v>
      </c>
      <c r="T315" s="16"/>
      <c r="U315" s="26"/>
    </row>
    <row r="316" spans="1:21" x14ac:dyDescent="0.25">
      <c r="A316" s="16" t="s">
        <v>37</v>
      </c>
      <c r="B316" s="16" t="s">
        <v>257</v>
      </c>
      <c r="C316" s="16" t="s">
        <v>258</v>
      </c>
      <c r="D316" s="16" t="s">
        <v>100</v>
      </c>
      <c r="E316" s="16" t="s">
        <v>101</v>
      </c>
      <c r="F316" s="16" t="s">
        <v>160</v>
      </c>
      <c r="G316" s="16" t="s">
        <v>161</v>
      </c>
      <c r="H316" s="16" t="s">
        <v>85</v>
      </c>
      <c r="I316" s="16" t="s">
        <v>40</v>
      </c>
      <c r="J316" s="16" t="s">
        <v>298</v>
      </c>
      <c r="K316" s="16" t="s">
        <v>299</v>
      </c>
      <c r="L316" s="15">
        <v>-11038.288648640002</v>
      </c>
      <c r="M316" s="15">
        <v>-451.98747600000013</v>
      </c>
      <c r="N316" s="15">
        <v>-7003.772808710999</v>
      </c>
      <c r="O316" s="15">
        <v>-4034.5158399290044</v>
      </c>
      <c r="P316" s="15">
        <v>-4034.5158399290044</v>
      </c>
      <c r="Q316" s="15">
        <f t="shared" si="16"/>
        <v>-4034.5158399290044</v>
      </c>
      <c r="R316" s="15">
        <v>0</v>
      </c>
      <c r="S316" s="15">
        <f t="shared" si="17"/>
        <v>-4034.5158399290044</v>
      </c>
      <c r="T316" s="16"/>
      <c r="U316" s="26"/>
    </row>
    <row r="317" spans="1:21" x14ac:dyDescent="0.25">
      <c r="A317" s="16" t="s">
        <v>37</v>
      </c>
      <c r="B317" s="16" t="s">
        <v>269</v>
      </c>
      <c r="C317" s="16" t="s">
        <v>270</v>
      </c>
      <c r="D317" s="16" t="s">
        <v>100</v>
      </c>
      <c r="E317" s="16" t="s">
        <v>101</v>
      </c>
      <c r="F317" s="16" t="s">
        <v>160</v>
      </c>
      <c r="G317" s="16" t="s">
        <v>161</v>
      </c>
      <c r="H317" s="16" t="s">
        <v>85</v>
      </c>
      <c r="I317" s="16" t="s">
        <v>40</v>
      </c>
      <c r="J317" s="16" t="s">
        <v>132</v>
      </c>
      <c r="K317" s="16" t="s">
        <v>133</v>
      </c>
      <c r="L317" s="15">
        <v>-72707.093303160771</v>
      </c>
      <c r="M317" s="15">
        <v>-72707.093303160771</v>
      </c>
      <c r="N317" s="15">
        <v>-72707.099986740111</v>
      </c>
      <c r="O317" s="15">
        <v>6.683579344098689E-3</v>
      </c>
      <c r="P317" s="15">
        <v>0</v>
      </c>
      <c r="Q317" s="15">
        <f t="shared" si="16"/>
        <v>0</v>
      </c>
      <c r="R317" s="15">
        <v>0</v>
      </c>
      <c r="S317" s="15">
        <f t="shared" si="17"/>
        <v>0</v>
      </c>
      <c r="T317" s="16"/>
      <c r="U317" s="16"/>
    </row>
    <row r="318" spans="1:21" x14ac:dyDescent="0.25">
      <c r="A318" s="16" t="s">
        <v>37</v>
      </c>
      <c r="B318" s="16" t="s">
        <v>257</v>
      </c>
      <c r="C318" s="16" t="s">
        <v>258</v>
      </c>
      <c r="D318" s="16" t="s">
        <v>100</v>
      </c>
      <c r="E318" s="16" t="s">
        <v>101</v>
      </c>
      <c r="F318" s="16" t="s">
        <v>160</v>
      </c>
      <c r="G318" s="16" t="s">
        <v>161</v>
      </c>
      <c r="H318" s="16" t="s">
        <v>85</v>
      </c>
      <c r="I318" s="16" t="s">
        <v>40</v>
      </c>
      <c r="J318" s="16" t="s">
        <v>302</v>
      </c>
      <c r="K318" s="16" t="s">
        <v>303</v>
      </c>
      <c r="L318" s="15">
        <v>-16949.152521186443</v>
      </c>
      <c r="M318" s="15">
        <v>0</v>
      </c>
      <c r="N318" s="15">
        <v>-16489.92461304348</v>
      </c>
      <c r="O318" s="15">
        <v>-459.22790814296241</v>
      </c>
      <c r="P318" s="15">
        <v>-459.22790814296241</v>
      </c>
      <c r="Q318" s="15">
        <v>0</v>
      </c>
      <c r="R318" s="15">
        <v>0</v>
      </c>
      <c r="S318" s="15">
        <f t="shared" si="17"/>
        <v>0</v>
      </c>
      <c r="T318" s="16"/>
      <c r="U318" s="26"/>
    </row>
    <row r="319" spans="1:21" x14ac:dyDescent="0.25">
      <c r="A319" s="16" t="s">
        <v>37</v>
      </c>
      <c r="B319" s="16" t="s">
        <v>269</v>
      </c>
      <c r="C319" s="16" t="s">
        <v>270</v>
      </c>
      <c r="D319" s="16" t="s">
        <v>100</v>
      </c>
      <c r="E319" s="16" t="s">
        <v>101</v>
      </c>
      <c r="F319" s="16" t="s">
        <v>160</v>
      </c>
      <c r="G319" s="16" t="s">
        <v>161</v>
      </c>
      <c r="H319" s="16" t="s">
        <v>85</v>
      </c>
      <c r="I319" s="16" t="s">
        <v>40</v>
      </c>
      <c r="J319" s="16" t="s">
        <v>64</v>
      </c>
      <c r="K319" s="16" t="s">
        <v>65</v>
      </c>
      <c r="L319" s="15">
        <v>-222953.81658840569</v>
      </c>
      <c r="M319" s="15">
        <v>0</v>
      </c>
      <c r="N319" s="15">
        <v>-216453.81965700755</v>
      </c>
      <c r="O319" s="15">
        <v>-6499.9969313981674</v>
      </c>
      <c r="P319" s="15">
        <v>-6499.9969313981674</v>
      </c>
      <c r="Q319" s="15">
        <f t="shared" si="16"/>
        <v>-6499.9969313981674</v>
      </c>
      <c r="R319" s="15">
        <v>0</v>
      </c>
      <c r="S319" s="15">
        <f t="shared" si="17"/>
        <v>-6499.9969313981674</v>
      </c>
      <c r="T319" s="16"/>
      <c r="U319" s="16"/>
    </row>
    <row r="320" spans="1:21" x14ac:dyDescent="0.25">
      <c r="A320" s="16" t="s">
        <v>37</v>
      </c>
      <c r="B320" s="16" t="s">
        <v>269</v>
      </c>
      <c r="C320" s="16" t="s">
        <v>270</v>
      </c>
      <c r="D320" s="16" t="s">
        <v>100</v>
      </c>
      <c r="E320" s="16" t="s">
        <v>101</v>
      </c>
      <c r="F320" s="16" t="s">
        <v>160</v>
      </c>
      <c r="G320" s="16" t="s">
        <v>161</v>
      </c>
      <c r="H320" s="16" t="s">
        <v>85</v>
      </c>
      <c r="I320" s="16" t="s">
        <v>40</v>
      </c>
      <c r="J320" s="16" t="s">
        <v>66</v>
      </c>
      <c r="K320" s="16" t="s">
        <v>63</v>
      </c>
      <c r="L320" s="15">
        <v>-121482.85338161269</v>
      </c>
      <c r="M320" s="15">
        <v>-121482.85338161269</v>
      </c>
      <c r="N320" s="15">
        <v>-121482.8598969935</v>
      </c>
      <c r="O320" s="15">
        <v>6.5153807981914724E-3</v>
      </c>
      <c r="P320" s="15">
        <v>0</v>
      </c>
      <c r="Q320" s="15">
        <f t="shared" si="16"/>
        <v>0</v>
      </c>
      <c r="R320" s="15">
        <v>0</v>
      </c>
      <c r="S320" s="15">
        <f t="shared" si="17"/>
        <v>0</v>
      </c>
      <c r="T320" s="16"/>
      <c r="U320" s="16"/>
    </row>
    <row r="321" spans="1:21" x14ac:dyDescent="0.25">
      <c r="A321" s="16" t="s">
        <v>37</v>
      </c>
      <c r="B321" s="16" t="s">
        <v>257</v>
      </c>
      <c r="C321" s="16" t="s">
        <v>258</v>
      </c>
      <c r="D321" s="16" t="s">
        <v>100</v>
      </c>
      <c r="E321" s="16" t="s">
        <v>101</v>
      </c>
      <c r="F321" s="16" t="s">
        <v>160</v>
      </c>
      <c r="G321" s="16" t="s">
        <v>161</v>
      </c>
      <c r="H321" s="16" t="s">
        <v>85</v>
      </c>
      <c r="I321" s="16" t="s">
        <v>40</v>
      </c>
      <c r="J321" s="16" t="s">
        <v>67</v>
      </c>
      <c r="K321" s="16" t="s">
        <v>68</v>
      </c>
      <c r="L321" s="15">
        <v>-6245</v>
      </c>
      <c r="M321" s="15">
        <v>0</v>
      </c>
      <c r="N321" s="15">
        <v>0</v>
      </c>
      <c r="O321" s="15">
        <v>-6245</v>
      </c>
      <c r="P321" s="15">
        <v>-6245</v>
      </c>
      <c r="Q321" s="15">
        <f t="shared" si="16"/>
        <v>-6245</v>
      </c>
      <c r="R321" s="15">
        <v>0</v>
      </c>
      <c r="S321" s="15">
        <f t="shared" si="17"/>
        <v>-6245</v>
      </c>
      <c r="T321" s="16"/>
      <c r="U321" s="26"/>
    </row>
    <row r="322" spans="1:21" x14ac:dyDescent="0.25">
      <c r="A322" s="16" t="s">
        <v>37</v>
      </c>
      <c r="B322" s="16" t="s">
        <v>269</v>
      </c>
      <c r="C322" s="16" t="s">
        <v>270</v>
      </c>
      <c r="D322" s="16" t="s">
        <v>100</v>
      </c>
      <c r="E322" s="16" t="s">
        <v>101</v>
      </c>
      <c r="F322" s="16" t="s">
        <v>160</v>
      </c>
      <c r="G322" s="16" t="s">
        <v>161</v>
      </c>
      <c r="H322" s="16" t="s">
        <v>85</v>
      </c>
      <c r="I322" s="16" t="s">
        <v>40</v>
      </c>
      <c r="J322" s="16" t="s">
        <v>69</v>
      </c>
      <c r="K322" s="16" t="s">
        <v>70</v>
      </c>
      <c r="L322" s="15">
        <v>-14502.036135302107</v>
      </c>
      <c r="M322" s="15">
        <v>-14502.036135302107</v>
      </c>
      <c r="N322" s="15">
        <v>-14502.039974266601</v>
      </c>
      <c r="O322" s="15">
        <v>3.8389644942071754E-3</v>
      </c>
      <c r="P322" s="15">
        <v>0</v>
      </c>
      <c r="Q322" s="15">
        <f t="shared" si="16"/>
        <v>0</v>
      </c>
      <c r="R322" s="15">
        <v>0</v>
      </c>
      <c r="S322" s="15">
        <f t="shared" si="17"/>
        <v>0</v>
      </c>
      <c r="T322" s="16"/>
      <c r="U322" s="15">
        <f t="shared" ref="U322:U324" si="20">O322</f>
        <v>3.8389644942071754E-3</v>
      </c>
    </row>
    <row r="323" spans="1:21" x14ac:dyDescent="0.25">
      <c r="A323" s="16" t="s">
        <v>37</v>
      </c>
      <c r="B323" s="16" t="s">
        <v>261</v>
      </c>
      <c r="C323" s="16" t="s">
        <v>262</v>
      </c>
      <c r="D323" s="16" t="s">
        <v>100</v>
      </c>
      <c r="E323" s="16" t="s">
        <v>101</v>
      </c>
      <c r="F323" s="16" t="s">
        <v>160</v>
      </c>
      <c r="G323" s="16" t="s">
        <v>161</v>
      </c>
      <c r="H323" s="16" t="s">
        <v>85</v>
      </c>
      <c r="I323" s="16" t="s">
        <v>40</v>
      </c>
      <c r="J323" s="16" t="s">
        <v>69</v>
      </c>
      <c r="K323" s="16" t="s">
        <v>70</v>
      </c>
      <c r="L323" s="15">
        <v>-3769.7499991939999</v>
      </c>
      <c r="M323" s="15">
        <v>-3769.75</v>
      </c>
      <c r="N323" s="15">
        <v>-4106.4938000000002</v>
      </c>
      <c r="O323" s="15">
        <v>336.74380080600042</v>
      </c>
      <c r="P323" s="15">
        <v>0</v>
      </c>
      <c r="Q323" s="15">
        <f t="shared" si="16"/>
        <v>0</v>
      </c>
      <c r="R323" s="15">
        <v>0</v>
      </c>
      <c r="S323" s="15">
        <f t="shared" si="17"/>
        <v>0</v>
      </c>
      <c r="T323" s="16"/>
      <c r="U323" s="15">
        <f t="shared" si="20"/>
        <v>336.74380080600042</v>
      </c>
    </row>
    <row r="324" spans="1:21" x14ac:dyDescent="0.25">
      <c r="A324" s="16" t="s">
        <v>37</v>
      </c>
      <c r="B324" s="16" t="s">
        <v>257</v>
      </c>
      <c r="C324" s="16" t="s">
        <v>258</v>
      </c>
      <c r="D324" s="16" t="s">
        <v>100</v>
      </c>
      <c r="E324" s="16" t="s">
        <v>101</v>
      </c>
      <c r="F324" s="16" t="s">
        <v>160</v>
      </c>
      <c r="G324" s="16" t="s">
        <v>161</v>
      </c>
      <c r="H324" s="16" t="s">
        <v>85</v>
      </c>
      <c r="I324" s="16" t="s">
        <v>40</v>
      </c>
      <c r="J324" s="16" t="s">
        <v>69</v>
      </c>
      <c r="K324" s="16" t="s">
        <v>70</v>
      </c>
      <c r="L324" s="15">
        <v>-4163.7673759999989</v>
      </c>
      <c r="M324" s="15">
        <v>-4163.7673759999989</v>
      </c>
      <c r="N324" s="15">
        <v>-4111.0709947200003</v>
      </c>
      <c r="O324" s="15">
        <v>-52.696381279999429</v>
      </c>
      <c r="P324" s="15">
        <v>0</v>
      </c>
      <c r="Q324" s="15">
        <f t="shared" si="16"/>
        <v>0</v>
      </c>
      <c r="R324" s="15">
        <v>0</v>
      </c>
      <c r="S324" s="15">
        <f t="shared" si="17"/>
        <v>0</v>
      </c>
      <c r="T324" s="16"/>
      <c r="U324" s="15">
        <f t="shared" si="20"/>
        <v>-52.696381279999429</v>
      </c>
    </row>
    <row r="325" spans="1:21" x14ac:dyDescent="0.25">
      <c r="A325" s="16" t="s">
        <v>37</v>
      </c>
      <c r="B325" s="16" t="s">
        <v>257</v>
      </c>
      <c r="C325" s="16" t="s">
        <v>258</v>
      </c>
      <c r="D325" s="16" t="s">
        <v>100</v>
      </c>
      <c r="E325" s="16" t="s">
        <v>101</v>
      </c>
      <c r="F325" s="16" t="s">
        <v>160</v>
      </c>
      <c r="G325" s="16" t="s">
        <v>161</v>
      </c>
      <c r="H325" s="16" t="s">
        <v>85</v>
      </c>
      <c r="I325" s="16" t="s">
        <v>40</v>
      </c>
      <c r="J325" s="16" t="s">
        <v>136</v>
      </c>
      <c r="K325" s="16" t="s">
        <v>137</v>
      </c>
      <c r="L325" s="15">
        <v>-43236.800000000025</v>
      </c>
      <c r="M325" s="15">
        <v>0</v>
      </c>
      <c r="N325" s="15">
        <v>-43236.800000000003</v>
      </c>
      <c r="O325" s="15">
        <v>-2.1827872842550278E-11</v>
      </c>
      <c r="P325" s="15">
        <v>-2.1827872842550278E-11</v>
      </c>
      <c r="Q325" s="15">
        <f t="shared" ref="Q325:Q388" si="21">P325-R325</f>
        <v>-2.1827872842550278E-11</v>
      </c>
      <c r="R325" s="15">
        <v>0</v>
      </c>
      <c r="S325" s="15">
        <f t="shared" ref="S325:S388" si="22">SUM(Q325:R325)</f>
        <v>-2.1827872842550278E-11</v>
      </c>
      <c r="T325" s="16"/>
      <c r="U325" s="26"/>
    </row>
    <row r="326" spans="1:21" x14ac:dyDescent="0.25">
      <c r="A326" s="16" t="s">
        <v>37</v>
      </c>
      <c r="B326" s="16" t="s">
        <v>265</v>
      </c>
      <c r="C326" s="16" t="s">
        <v>266</v>
      </c>
      <c r="D326" s="16" t="s">
        <v>100</v>
      </c>
      <c r="E326" s="16" t="s">
        <v>101</v>
      </c>
      <c r="F326" s="16" t="s">
        <v>160</v>
      </c>
      <c r="G326" s="16" t="s">
        <v>161</v>
      </c>
      <c r="H326" s="16" t="s">
        <v>85</v>
      </c>
      <c r="I326" s="16" t="s">
        <v>40</v>
      </c>
      <c r="J326" s="16" t="s">
        <v>138</v>
      </c>
      <c r="K326" s="16" t="s">
        <v>139</v>
      </c>
      <c r="L326" s="15">
        <v>-4894.1305205565932</v>
      </c>
      <c r="M326" s="15">
        <v>0</v>
      </c>
      <c r="N326" s="15">
        <v>-4894.1305205565932</v>
      </c>
      <c r="O326" s="15">
        <v>-2.2737367544323206E-13</v>
      </c>
      <c r="P326" s="15">
        <v>0</v>
      </c>
      <c r="Q326" s="15">
        <f t="shared" si="21"/>
        <v>0</v>
      </c>
      <c r="R326" s="15">
        <v>0</v>
      </c>
      <c r="S326" s="15">
        <f t="shared" si="22"/>
        <v>0</v>
      </c>
      <c r="T326" s="16"/>
      <c r="U326" s="16"/>
    </row>
    <row r="327" spans="1:21" x14ac:dyDescent="0.25">
      <c r="A327" s="28" t="s">
        <v>37</v>
      </c>
      <c r="B327" s="28" t="s">
        <v>269</v>
      </c>
      <c r="C327" s="28" t="s">
        <v>270</v>
      </c>
      <c r="D327" s="28" t="s">
        <v>100</v>
      </c>
      <c r="E327" s="28" t="s">
        <v>101</v>
      </c>
      <c r="F327" s="28" t="s">
        <v>162</v>
      </c>
      <c r="G327" s="28" t="s">
        <v>163</v>
      </c>
      <c r="H327" s="28" t="s">
        <v>85</v>
      </c>
      <c r="I327" s="28" t="s">
        <v>40</v>
      </c>
      <c r="J327" s="28" t="s">
        <v>38</v>
      </c>
      <c r="K327" s="28" t="s">
        <v>293</v>
      </c>
      <c r="L327" s="29">
        <v>-436016.66319502448</v>
      </c>
      <c r="M327" s="29">
        <v>-30897.175304142042</v>
      </c>
      <c r="N327" s="29">
        <v>-461610.46349477384</v>
      </c>
      <c r="O327" s="29">
        <v>25593.800299749382</v>
      </c>
      <c r="P327" s="29">
        <f>O327</f>
        <v>25593.800299749382</v>
      </c>
      <c r="Q327" s="29">
        <f>P327-R327-25594</f>
        <v>-0.19970025061775232</v>
      </c>
      <c r="R327" s="15">
        <v>0</v>
      </c>
      <c r="S327" s="15">
        <f t="shared" si="22"/>
        <v>-0.19970025061775232</v>
      </c>
      <c r="T327" s="16"/>
      <c r="U327" s="16"/>
    </row>
    <row r="328" spans="1:21" x14ac:dyDescent="0.25">
      <c r="A328" s="16" t="s">
        <v>37</v>
      </c>
      <c r="B328" s="16" t="s">
        <v>265</v>
      </c>
      <c r="C328" s="16" t="s">
        <v>266</v>
      </c>
      <c r="D328" s="16" t="s">
        <v>100</v>
      </c>
      <c r="E328" s="16" t="s">
        <v>101</v>
      </c>
      <c r="F328" s="16" t="s">
        <v>162</v>
      </c>
      <c r="G328" s="16" t="s">
        <v>163</v>
      </c>
      <c r="H328" s="16" t="s">
        <v>85</v>
      </c>
      <c r="I328" s="16" t="s">
        <v>40</v>
      </c>
      <c r="J328" s="16" t="s">
        <v>38</v>
      </c>
      <c r="K328" s="16" t="s">
        <v>293</v>
      </c>
      <c r="L328" s="15">
        <v>-3243235.6100900611</v>
      </c>
      <c r="M328" s="15">
        <v>-167.00000346045758</v>
      </c>
      <c r="N328" s="15">
        <v>-3140498.6249022102</v>
      </c>
      <c r="O328" s="15">
        <v>-102736.98518785089</v>
      </c>
      <c r="P328" s="15">
        <v>-102736.98518785089</v>
      </c>
      <c r="Q328" s="15">
        <f t="shared" si="21"/>
        <v>-102736.98518785089</v>
      </c>
      <c r="R328" s="15">
        <v>0</v>
      </c>
      <c r="S328" s="15">
        <f t="shared" si="22"/>
        <v>-102736.98518785089</v>
      </c>
      <c r="T328" s="16"/>
      <c r="U328" s="16"/>
    </row>
    <row r="329" spans="1:21" x14ac:dyDescent="0.25">
      <c r="A329" s="16" t="s">
        <v>37</v>
      </c>
      <c r="B329" s="16" t="s">
        <v>261</v>
      </c>
      <c r="C329" s="16" t="s">
        <v>262</v>
      </c>
      <c r="D329" s="16" t="s">
        <v>100</v>
      </c>
      <c r="E329" s="16" t="s">
        <v>101</v>
      </c>
      <c r="F329" s="16" t="s">
        <v>162</v>
      </c>
      <c r="G329" s="16" t="s">
        <v>163</v>
      </c>
      <c r="H329" s="16" t="s">
        <v>85</v>
      </c>
      <c r="I329" s="16" t="s">
        <v>40</v>
      </c>
      <c r="J329" s="16" t="s">
        <v>38</v>
      </c>
      <c r="K329" s="16" t="s">
        <v>293</v>
      </c>
      <c r="L329" s="15">
        <v>-1662886.3288952787</v>
      </c>
      <c r="M329" s="15">
        <v>-95393.27</v>
      </c>
      <c r="N329" s="15">
        <v>-1503456.6555165784</v>
      </c>
      <c r="O329" s="15">
        <v>-159429.67337869992</v>
      </c>
      <c r="P329" s="15">
        <v>-159429.67337869992</v>
      </c>
      <c r="Q329" s="15">
        <f t="shared" si="21"/>
        <v>-159429.67337869992</v>
      </c>
      <c r="R329" s="15">
        <v>0</v>
      </c>
      <c r="S329" s="15">
        <f t="shared" si="22"/>
        <v>-159429.67337869992</v>
      </c>
      <c r="T329" s="16"/>
      <c r="U329" s="16"/>
    </row>
    <row r="330" spans="1:21" x14ac:dyDescent="0.25">
      <c r="A330" s="16" t="s">
        <v>37</v>
      </c>
      <c r="B330" s="16" t="s">
        <v>257</v>
      </c>
      <c r="C330" s="16" t="s">
        <v>258</v>
      </c>
      <c r="D330" s="16" t="s">
        <v>100</v>
      </c>
      <c r="E330" s="16" t="s">
        <v>101</v>
      </c>
      <c r="F330" s="16" t="s">
        <v>162</v>
      </c>
      <c r="G330" s="16" t="s">
        <v>163</v>
      </c>
      <c r="H330" s="16" t="s">
        <v>85</v>
      </c>
      <c r="I330" s="16" t="s">
        <v>40</v>
      </c>
      <c r="J330" s="16" t="s">
        <v>38</v>
      </c>
      <c r="K330" s="16" t="s">
        <v>293</v>
      </c>
      <c r="L330" s="15">
        <v>-7639008.8264174731</v>
      </c>
      <c r="M330" s="15">
        <v>-1077049.150507282</v>
      </c>
      <c r="N330" s="15">
        <v>-6922529.4950274806</v>
      </c>
      <c r="O330" s="15">
        <v>-716479.33138999157</v>
      </c>
      <c r="P330" s="15">
        <v>-716479.33138999157</v>
      </c>
      <c r="Q330" s="15">
        <f>P330-R330+P327</f>
        <v>-690885.53109024221</v>
      </c>
      <c r="R330" s="15">
        <v>0</v>
      </c>
      <c r="S330" s="15">
        <f t="shared" si="22"/>
        <v>-690885.53109024221</v>
      </c>
      <c r="T330" s="16"/>
      <c r="U330" s="26"/>
    </row>
    <row r="331" spans="1:21" x14ac:dyDescent="0.25">
      <c r="A331" s="16" t="s">
        <v>37</v>
      </c>
      <c r="B331" s="16" t="s">
        <v>257</v>
      </c>
      <c r="C331" s="16" t="s">
        <v>258</v>
      </c>
      <c r="D331" s="16" t="s">
        <v>100</v>
      </c>
      <c r="E331" s="16" t="s">
        <v>101</v>
      </c>
      <c r="F331" s="16" t="s">
        <v>162</v>
      </c>
      <c r="G331" s="16" t="s">
        <v>163</v>
      </c>
      <c r="H331" s="16" t="s">
        <v>85</v>
      </c>
      <c r="I331" s="16" t="s">
        <v>40</v>
      </c>
      <c r="J331" s="16" t="s">
        <v>300</v>
      </c>
      <c r="K331" s="16" t="s">
        <v>301</v>
      </c>
      <c r="L331" s="15">
        <v>-23508.47457627119</v>
      </c>
      <c r="M331" s="15">
        <v>0</v>
      </c>
      <c r="N331" s="15">
        <v>-16729.150000000001</v>
      </c>
      <c r="O331" s="15">
        <v>-6779.3245762711867</v>
      </c>
      <c r="P331" s="15">
        <v>-6779.3245762711867</v>
      </c>
      <c r="Q331" s="15">
        <v>5000</v>
      </c>
      <c r="R331" s="15">
        <v>-5000</v>
      </c>
      <c r="S331" s="15">
        <f t="shared" si="22"/>
        <v>0</v>
      </c>
      <c r="T331" s="16"/>
      <c r="U331" s="26"/>
    </row>
    <row r="332" spans="1:21" x14ac:dyDescent="0.25">
      <c r="A332" s="16" t="s">
        <v>37</v>
      </c>
      <c r="B332" s="16" t="s">
        <v>257</v>
      </c>
      <c r="C332" s="16" t="s">
        <v>258</v>
      </c>
      <c r="D332" s="16" t="s">
        <v>100</v>
      </c>
      <c r="E332" s="16" t="s">
        <v>101</v>
      </c>
      <c r="F332" s="16" t="s">
        <v>162</v>
      </c>
      <c r="G332" s="16" t="s">
        <v>163</v>
      </c>
      <c r="H332" s="16" t="s">
        <v>85</v>
      </c>
      <c r="I332" s="16" t="s">
        <v>40</v>
      </c>
      <c r="J332" s="16" t="s">
        <v>142</v>
      </c>
      <c r="K332" s="16" t="s">
        <v>143</v>
      </c>
      <c r="L332" s="15">
        <v>-10984.273999999999</v>
      </c>
      <c r="M332" s="15">
        <v>0</v>
      </c>
      <c r="N332" s="15">
        <v>0</v>
      </c>
      <c r="O332" s="15">
        <v>-10984.273999999999</v>
      </c>
      <c r="P332" s="15">
        <v>-10984.273999999999</v>
      </c>
      <c r="Q332" s="15">
        <f t="shared" si="21"/>
        <v>-10984.273999999999</v>
      </c>
      <c r="R332" s="15">
        <v>0</v>
      </c>
      <c r="S332" s="15">
        <f t="shared" si="22"/>
        <v>-10984.273999999999</v>
      </c>
      <c r="T332" s="16"/>
      <c r="U332" s="26"/>
    </row>
    <row r="333" spans="1:21" x14ac:dyDescent="0.25">
      <c r="A333" s="16" t="s">
        <v>37</v>
      </c>
      <c r="B333" s="16" t="s">
        <v>269</v>
      </c>
      <c r="C333" s="16" t="s">
        <v>270</v>
      </c>
      <c r="D333" s="16" t="s">
        <v>100</v>
      </c>
      <c r="E333" s="16" t="s">
        <v>101</v>
      </c>
      <c r="F333" s="16" t="s">
        <v>162</v>
      </c>
      <c r="G333" s="16" t="s">
        <v>163</v>
      </c>
      <c r="H333" s="16" t="s">
        <v>85</v>
      </c>
      <c r="I333" s="16" t="s">
        <v>40</v>
      </c>
      <c r="J333" s="16" t="s">
        <v>130</v>
      </c>
      <c r="K333" s="16" t="s">
        <v>131</v>
      </c>
      <c r="L333" s="15">
        <v>-20628.690000071223</v>
      </c>
      <c r="M333" s="15">
        <v>-20628.690000071223</v>
      </c>
      <c r="N333" s="15">
        <v>0</v>
      </c>
      <c r="O333" s="15">
        <v>-20628.690000071223</v>
      </c>
      <c r="P333" s="15">
        <v>-20628.690000071223</v>
      </c>
      <c r="Q333" s="15">
        <f t="shared" si="21"/>
        <v>-20628.690000071223</v>
      </c>
      <c r="R333" s="15">
        <v>0</v>
      </c>
      <c r="S333" s="15">
        <f t="shared" si="22"/>
        <v>-20628.690000071223</v>
      </c>
      <c r="T333" s="16"/>
      <c r="U333" s="16"/>
    </row>
    <row r="334" spans="1:21" x14ac:dyDescent="0.25">
      <c r="A334" s="16" t="s">
        <v>37</v>
      </c>
      <c r="B334" s="16" t="s">
        <v>257</v>
      </c>
      <c r="C334" s="16" t="s">
        <v>258</v>
      </c>
      <c r="D334" s="16" t="s">
        <v>100</v>
      </c>
      <c r="E334" s="16" t="s">
        <v>101</v>
      </c>
      <c r="F334" s="16" t="s">
        <v>162</v>
      </c>
      <c r="G334" s="16" t="s">
        <v>163</v>
      </c>
      <c r="H334" s="16" t="s">
        <v>85</v>
      </c>
      <c r="I334" s="16" t="s">
        <v>40</v>
      </c>
      <c r="J334" s="16" t="s">
        <v>296</v>
      </c>
      <c r="K334" s="16" t="s">
        <v>297</v>
      </c>
      <c r="L334" s="15">
        <v>-12200.2249985982</v>
      </c>
      <c r="M334" s="15">
        <v>-69.619579799999997</v>
      </c>
      <c r="N334" s="15">
        <v>-12153.158260000002</v>
      </c>
      <c r="O334" s="15">
        <v>-47.066738598198754</v>
      </c>
      <c r="P334" s="15">
        <v>-47.066738598198754</v>
      </c>
      <c r="Q334" s="15">
        <f t="shared" si="21"/>
        <v>-47.066738598198754</v>
      </c>
      <c r="R334" s="15">
        <v>0</v>
      </c>
      <c r="S334" s="15">
        <f t="shared" si="22"/>
        <v>-47.066738598198754</v>
      </c>
      <c r="T334" s="16"/>
      <c r="U334" s="26"/>
    </row>
    <row r="335" spans="1:21" x14ac:dyDescent="0.25">
      <c r="A335" s="16" t="s">
        <v>37</v>
      </c>
      <c r="B335" s="16" t="s">
        <v>269</v>
      </c>
      <c r="C335" s="16" t="s">
        <v>270</v>
      </c>
      <c r="D335" s="16" t="s">
        <v>100</v>
      </c>
      <c r="E335" s="16" t="s">
        <v>101</v>
      </c>
      <c r="F335" s="16" t="s">
        <v>162</v>
      </c>
      <c r="G335" s="16" t="s">
        <v>163</v>
      </c>
      <c r="H335" s="16" t="s">
        <v>85</v>
      </c>
      <c r="I335" s="16" t="s">
        <v>40</v>
      </c>
      <c r="J335" s="16" t="s">
        <v>124</v>
      </c>
      <c r="K335" s="16" t="s">
        <v>125</v>
      </c>
      <c r="L335" s="15">
        <v>-2018.248623542187</v>
      </c>
      <c r="M335" s="15">
        <v>0</v>
      </c>
      <c r="N335" s="15">
        <v>-1419.4199999999992</v>
      </c>
      <c r="O335" s="15">
        <v>-598.82862354218832</v>
      </c>
      <c r="P335" s="15">
        <v>0</v>
      </c>
      <c r="Q335" s="15">
        <f t="shared" si="21"/>
        <v>0</v>
      </c>
      <c r="R335" s="15">
        <v>0</v>
      </c>
      <c r="S335" s="15">
        <f t="shared" si="22"/>
        <v>0</v>
      </c>
      <c r="T335" s="16"/>
      <c r="U335" s="16"/>
    </row>
    <row r="336" spans="1:21" x14ac:dyDescent="0.25">
      <c r="A336" s="16" t="s">
        <v>37</v>
      </c>
      <c r="B336" s="16" t="s">
        <v>265</v>
      </c>
      <c r="C336" s="16" t="s">
        <v>266</v>
      </c>
      <c r="D336" s="16" t="s">
        <v>100</v>
      </c>
      <c r="E336" s="16" t="s">
        <v>101</v>
      </c>
      <c r="F336" s="16" t="s">
        <v>162</v>
      </c>
      <c r="G336" s="16" t="s">
        <v>163</v>
      </c>
      <c r="H336" s="16" t="s">
        <v>85</v>
      </c>
      <c r="I336" s="16" t="s">
        <v>40</v>
      </c>
      <c r="J336" s="16" t="s">
        <v>124</v>
      </c>
      <c r="K336" s="16" t="s">
        <v>125</v>
      </c>
      <c r="L336" s="15">
        <v>-365702.46542919852</v>
      </c>
      <c r="M336" s="15">
        <v>0</v>
      </c>
      <c r="N336" s="15">
        <v>-299374.57365309499</v>
      </c>
      <c r="O336" s="15">
        <v>-66327.891776103512</v>
      </c>
      <c r="P336" s="15">
        <v>0</v>
      </c>
      <c r="Q336" s="15">
        <f t="shared" si="21"/>
        <v>0</v>
      </c>
      <c r="R336" s="15">
        <v>0</v>
      </c>
      <c r="S336" s="15">
        <f t="shared" si="22"/>
        <v>0</v>
      </c>
      <c r="T336" s="16"/>
      <c r="U336" s="16"/>
    </row>
    <row r="337" spans="1:21" x14ac:dyDescent="0.25">
      <c r="A337" s="16" t="s">
        <v>37</v>
      </c>
      <c r="B337" s="16" t="s">
        <v>261</v>
      </c>
      <c r="C337" s="16" t="s">
        <v>262</v>
      </c>
      <c r="D337" s="16" t="s">
        <v>100</v>
      </c>
      <c r="E337" s="16" t="s">
        <v>101</v>
      </c>
      <c r="F337" s="16" t="s">
        <v>162</v>
      </c>
      <c r="G337" s="16" t="s">
        <v>163</v>
      </c>
      <c r="H337" s="16" t="s">
        <v>85</v>
      </c>
      <c r="I337" s="16" t="s">
        <v>40</v>
      </c>
      <c r="J337" s="16" t="s">
        <v>124</v>
      </c>
      <c r="K337" s="16" t="s">
        <v>125</v>
      </c>
      <c r="L337" s="15">
        <v>-53269.32473475</v>
      </c>
      <c r="M337" s="15">
        <v>0</v>
      </c>
      <c r="N337" s="15">
        <v>-35675.6335056936</v>
      </c>
      <c r="O337" s="15">
        <v>-17593.691229056392</v>
      </c>
      <c r="P337" s="15">
        <v>0</v>
      </c>
      <c r="Q337" s="15">
        <f t="shared" si="21"/>
        <v>0</v>
      </c>
      <c r="R337" s="15">
        <v>0</v>
      </c>
      <c r="S337" s="15">
        <f t="shared" si="22"/>
        <v>0</v>
      </c>
      <c r="T337" s="16"/>
      <c r="U337" s="16"/>
    </row>
    <row r="338" spans="1:21" x14ac:dyDescent="0.25">
      <c r="A338" s="16" t="s">
        <v>37</v>
      </c>
      <c r="B338" s="16" t="s">
        <v>257</v>
      </c>
      <c r="C338" s="16" t="s">
        <v>258</v>
      </c>
      <c r="D338" s="16" t="s">
        <v>100</v>
      </c>
      <c r="E338" s="16" t="s">
        <v>101</v>
      </c>
      <c r="F338" s="16" t="s">
        <v>162</v>
      </c>
      <c r="G338" s="16" t="s">
        <v>163</v>
      </c>
      <c r="H338" s="16" t="s">
        <v>85</v>
      </c>
      <c r="I338" s="16" t="s">
        <v>40</v>
      </c>
      <c r="J338" s="16" t="s">
        <v>124</v>
      </c>
      <c r="K338" s="16" t="s">
        <v>125</v>
      </c>
      <c r="L338" s="15">
        <v>-163.8415</v>
      </c>
      <c r="M338" s="15">
        <v>0</v>
      </c>
      <c r="N338" s="15">
        <v>-124.03926399999999</v>
      </c>
      <c r="O338" s="15">
        <v>-39.802236000000022</v>
      </c>
      <c r="P338" s="15">
        <v>0</v>
      </c>
      <c r="Q338" s="15">
        <f t="shared" si="21"/>
        <v>0</v>
      </c>
      <c r="R338" s="15">
        <v>0</v>
      </c>
      <c r="S338" s="15">
        <f t="shared" si="22"/>
        <v>0</v>
      </c>
      <c r="T338" s="16"/>
      <c r="U338" s="26"/>
    </row>
    <row r="339" spans="1:21" x14ac:dyDescent="0.25">
      <c r="A339" s="16" t="s">
        <v>37</v>
      </c>
      <c r="B339" s="16" t="s">
        <v>257</v>
      </c>
      <c r="C339" s="16" t="s">
        <v>258</v>
      </c>
      <c r="D339" s="16" t="s">
        <v>100</v>
      </c>
      <c r="E339" s="16" t="s">
        <v>101</v>
      </c>
      <c r="F339" s="16" t="s">
        <v>162</v>
      </c>
      <c r="G339" s="16" t="s">
        <v>163</v>
      </c>
      <c r="H339" s="16" t="s">
        <v>85</v>
      </c>
      <c r="I339" s="16" t="s">
        <v>40</v>
      </c>
      <c r="J339" s="16" t="s">
        <v>298</v>
      </c>
      <c r="K339" s="16" t="s">
        <v>299</v>
      </c>
      <c r="L339" s="15">
        <v>-6666.6264454800012</v>
      </c>
      <c r="M339" s="15">
        <v>-273.04606200000012</v>
      </c>
      <c r="N339" s="15">
        <v>-4230.5783917080007</v>
      </c>
      <c r="O339" s="15">
        <v>-2436.0480537720009</v>
      </c>
      <c r="P339" s="15">
        <v>-2436.0480537720009</v>
      </c>
      <c r="Q339" s="15">
        <f t="shared" si="21"/>
        <v>-2436.0480537720009</v>
      </c>
      <c r="R339" s="15">
        <v>0</v>
      </c>
      <c r="S339" s="15">
        <f t="shared" si="22"/>
        <v>-2436.0480537720009</v>
      </c>
      <c r="T339" s="16"/>
      <c r="U339" s="26"/>
    </row>
    <row r="340" spans="1:21" x14ac:dyDescent="0.25">
      <c r="A340" s="16" t="s">
        <v>37</v>
      </c>
      <c r="B340" s="16" t="s">
        <v>269</v>
      </c>
      <c r="C340" s="16" t="s">
        <v>270</v>
      </c>
      <c r="D340" s="16" t="s">
        <v>100</v>
      </c>
      <c r="E340" s="16" t="s">
        <v>101</v>
      </c>
      <c r="F340" s="16" t="s">
        <v>162</v>
      </c>
      <c r="G340" s="16" t="s">
        <v>163</v>
      </c>
      <c r="H340" s="16" t="s">
        <v>85</v>
      </c>
      <c r="I340" s="16" t="s">
        <v>40</v>
      </c>
      <c r="J340" s="16" t="s">
        <v>132</v>
      </c>
      <c r="K340" s="16" t="s">
        <v>133</v>
      </c>
      <c r="L340" s="15">
        <v>-57060.261855057062</v>
      </c>
      <c r="M340" s="15">
        <v>-57060.261855057062</v>
      </c>
      <c r="N340" s="15">
        <v>-57060.249989593707</v>
      </c>
      <c r="O340" s="15">
        <v>-1.1865463357025874E-2</v>
      </c>
      <c r="P340" s="15">
        <v>0</v>
      </c>
      <c r="Q340" s="15">
        <f t="shared" si="21"/>
        <v>0</v>
      </c>
      <c r="R340" s="15">
        <v>0</v>
      </c>
      <c r="S340" s="15">
        <f t="shared" si="22"/>
        <v>0</v>
      </c>
      <c r="T340" s="16"/>
      <c r="U340" s="16"/>
    </row>
    <row r="341" spans="1:21" x14ac:dyDescent="0.25">
      <c r="A341" s="16" t="s">
        <v>37</v>
      </c>
      <c r="B341" s="16" t="s">
        <v>257</v>
      </c>
      <c r="C341" s="16" t="s">
        <v>258</v>
      </c>
      <c r="D341" s="16" t="s">
        <v>100</v>
      </c>
      <c r="E341" s="16" t="s">
        <v>101</v>
      </c>
      <c r="F341" s="16" t="s">
        <v>162</v>
      </c>
      <c r="G341" s="16" t="s">
        <v>163</v>
      </c>
      <c r="H341" s="16" t="s">
        <v>85</v>
      </c>
      <c r="I341" s="16" t="s">
        <v>40</v>
      </c>
      <c r="J341" s="16" t="s">
        <v>302</v>
      </c>
      <c r="K341" s="16" t="s">
        <v>303</v>
      </c>
      <c r="L341" s="15">
        <v>-49491.525361864398</v>
      </c>
      <c r="M341" s="15">
        <v>0</v>
      </c>
      <c r="N341" s="15">
        <v>-49133.726086956529</v>
      </c>
      <c r="O341" s="15">
        <v>-357.7992749078694</v>
      </c>
      <c r="P341" s="15">
        <v>-357.7992749078694</v>
      </c>
      <c r="Q341" s="15">
        <f>P341-R341+358</f>
        <v>3895.5507250921305</v>
      </c>
      <c r="R341" s="15">
        <v>-3895.35</v>
      </c>
      <c r="S341" s="15">
        <f t="shared" si="22"/>
        <v>0.20072509213059675</v>
      </c>
      <c r="T341" s="16"/>
      <c r="U341" s="26"/>
    </row>
    <row r="342" spans="1:21" x14ac:dyDescent="0.25">
      <c r="A342" s="16" t="s">
        <v>37</v>
      </c>
      <c r="B342" s="16" t="s">
        <v>269</v>
      </c>
      <c r="C342" s="16" t="s">
        <v>270</v>
      </c>
      <c r="D342" s="16" t="s">
        <v>100</v>
      </c>
      <c r="E342" s="16" t="s">
        <v>101</v>
      </c>
      <c r="F342" s="16" t="s">
        <v>162</v>
      </c>
      <c r="G342" s="16" t="s">
        <v>163</v>
      </c>
      <c r="H342" s="16" t="s">
        <v>85</v>
      </c>
      <c r="I342" s="16" t="s">
        <v>40</v>
      </c>
      <c r="J342" s="16" t="s">
        <v>64</v>
      </c>
      <c r="K342" s="16" t="s">
        <v>65</v>
      </c>
      <c r="L342" s="15">
        <v>-116523.80948680616</v>
      </c>
      <c r="M342" s="15">
        <v>0</v>
      </c>
      <c r="N342" s="15">
        <v>-109780.61982604174</v>
      </c>
      <c r="O342" s="15">
        <v>-6743.1896607643794</v>
      </c>
      <c r="P342" s="15">
        <v>-6743.1896607643794</v>
      </c>
      <c r="Q342" s="15">
        <f t="shared" si="21"/>
        <v>-6743.1896607643794</v>
      </c>
      <c r="R342" s="15">
        <v>0</v>
      </c>
      <c r="S342" s="15">
        <f t="shared" si="22"/>
        <v>-6743.1896607643794</v>
      </c>
      <c r="T342" s="16"/>
      <c r="U342" s="16"/>
    </row>
    <row r="343" spans="1:21" x14ac:dyDescent="0.25">
      <c r="A343" s="16" t="s">
        <v>37</v>
      </c>
      <c r="B343" s="16" t="s">
        <v>269</v>
      </c>
      <c r="C343" s="16" t="s">
        <v>270</v>
      </c>
      <c r="D343" s="16" t="s">
        <v>100</v>
      </c>
      <c r="E343" s="16" t="s">
        <v>101</v>
      </c>
      <c r="F343" s="16" t="s">
        <v>162</v>
      </c>
      <c r="G343" s="16" t="s">
        <v>163</v>
      </c>
      <c r="H343" s="16" t="s">
        <v>85</v>
      </c>
      <c r="I343" s="16" t="s">
        <v>40</v>
      </c>
      <c r="J343" s="16" t="s">
        <v>66</v>
      </c>
      <c r="K343" s="16" t="s">
        <v>63</v>
      </c>
      <c r="L343" s="15">
        <v>-81807.878625381549</v>
      </c>
      <c r="M343" s="15">
        <v>-81807.878625381549</v>
      </c>
      <c r="N343" s="15">
        <v>-81807.899930634274</v>
      </c>
      <c r="O343" s="15">
        <v>2.1305252731508517E-2</v>
      </c>
      <c r="P343" s="15">
        <v>0</v>
      </c>
      <c r="Q343" s="15">
        <f t="shared" si="21"/>
        <v>0</v>
      </c>
      <c r="R343" s="15">
        <v>0</v>
      </c>
      <c r="S343" s="15">
        <f t="shared" si="22"/>
        <v>0</v>
      </c>
      <c r="T343" s="16"/>
      <c r="U343" s="16"/>
    </row>
    <row r="344" spans="1:21" x14ac:dyDescent="0.25">
      <c r="A344" s="16" t="s">
        <v>37</v>
      </c>
      <c r="B344" s="16" t="s">
        <v>257</v>
      </c>
      <c r="C344" s="16" t="s">
        <v>258</v>
      </c>
      <c r="D344" s="16" t="s">
        <v>100</v>
      </c>
      <c r="E344" s="16" t="s">
        <v>101</v>
      </c>
      <c r="F344" s="16" t="s">
        <v>162</v>
      </c>
      <c r="G344" s="16" t="s">
        <v>163</v>
      </c>
      <c r="H344" s="16" t="s">
        <v>85</v>
      </c>
      <c r="I344" s="16" t="s">
        <v>40</v>
      </c>
      <c r="J344" s="16" t="s">
        <v>67</v>
      </c>
      <c r="K344" s="16" t="s">
        <v>68</v>
      </c>
      <c r="L344" s="15">
        <v>-3970</v>
      </c>
      <c r="M344" s="15">
        <v>0</v>
      </c>
      <c r="N344" s="15">
        <v>0</v>
      </c>
      <c r="O344" s="15">
        <v>-3970</v>
      </c>
      <c r="P344" s="15">
        <v>-3970</v>
      </c>
      <c r="Q344" s="15">
        <f t="shared" si="21"/>
        <v>-3970</v>
      </c>
      <c r="R344" s="15">
        <v>0</v>
      </c>
      <c r="S344" s="15">
        <f t="shared" si="22"/>
        <v>-3970</v>
      </c>
      <c r="T344" s="16"/>
      <c r="U344" s="26"/>
    </row>
    <row r="345" spans="1:21" x14ac:dyDescent="0.25">
      <c r="A345" s="16" t="s">
        <v>37</v>
      </c>
      <c r="B345" s="16" t="s">
        <v>269</v>
      </c>
      <c r="C345" s="16" t="s">
        <v>270</v>
      </c>
      <c r="D345" s="16" t="s">
        <v>100</v>
      </c>
      <c r="E345" s="16" t="s">
        <v>101</v>
      </c>
      <c r="F345" s="16" t="s">
        <v>162</v>
      </c>
      <c r="G345" s="16" t="s">
        <v>163</v>
      </c>
      <c r="H345" s="16" t="s">
        <v>85</v>
      </c>
      <c r="I345" s="16" t="s">
        <v>40</v>
      </c>
      <c r="J345" s="16" t="s">
        <v>69</v>
      </c>
      <c r="K345" s="16" t="s">
        <v>70</v>
      </c>
      <c r="L345" s="15">
        <v>-1732.6956703652104</v>
      </c>
      <c r="M345" s="15">
        <v>-1732.6956703652104</v>
      </c>
      <c r="N345" s="15">
        <v>-1732.6999969253802</v>
      </c>
      <c r="O345" s="15">
        <v>4.3265601693462941E-3</v>
      </c>
      <c r="P345" s="15">
        <v>0</v>
      </c>
      <c r="Q345" s="15">
        <f t="shared" si="21"/>
        <v>0</v>
      </c>
      <c r="R345" s="15">
        <v>0</v>
      </c>
      <c r="S345" s="15">
        <f t="shared" si="22"/>
        <v>0</v>
      </c>
      <c r="T345" s="16"/>
      <c r="U345" s="15">
        <f t="shared" ref="U345:U347" si="23">O345</f>
        <v>4.3265601693462941E-3</v>
      </c>
    </row>
    <row r="346" spans="1:21" x14ac:dyDescent="0.25">
      <c r="A346" s="16" t="s">
        <v>37</v>
      </c>
      <c r="B346" s="16" t="s">
        <v>261</v>
      </c>
      <c r="C346" s="16" t="s">
        <v>262</v>
      </c>
      <c r="D346" s="16" t="s">
        <v>100</v>
      </c>
      <c r="E346" s="16" t="s">
        <v>101</v>
      </c>
      <c r="F346" s="16" t="s">
        <v>162</v>
      </c>
      <c r="G346" s="16" t="s">
        <v>163</v>
      </c>
      <c r="H346" s="16" t="s">
        <v>85</v>
      </c>
      <c r="I346" s="16" t="s">
        <v>40</v>
      </c>
      <c r="J346" s="16" t="s">
        <v>69</v>
      </c>
      <c r="K346" s="16" t="s">
        <v>70</v>
      </c>
      <c r="L346" s="15">
        <v>-7132.5899984750004</v>
      </c>
      <c r="M346" s="15">
        <v>-7132.59</v>
      </c>
      <c r="N346" s="15">
        <v>-6982.9103000000005</v>
      </c>
      <c r="O346" s="15">
        <v>-149.6796984749999</v>
      </c>
      <c r="P346" s="15">
        <v>0</v>
      </c>
      <c r="Q346" s="15">
        <f t="shared" si="21"/>
        <v>0</v>
      </c>
      <c r="R346" s="15">
        <v>0</v>
      </c>
      <c r="S346" s="15">
        <f t="shared" si="22"/>
        <v>0</v>
      </c>
      <c r="T346" s="16"/>
      <c r="U346" s="15">
        <f t="shared" si="23"/>
        <v>-149.6796984749999</v>
      </c>
    </row>
    <row r="347" spans="1:21" x14ac:dyDescent="0.25">
      <c r="A347" s="16" t="s">
        <v>37</v>
      </c>
      <c r="B347" s="16" t="s">
        <v>257</v>
      </c>
      <c r="C347" s="16" t="s">
        <v>258</v>
      </c>
      <c r="D347" s="16" t="s">
        <v>100</v>
      </c>
      <c r="E347" s="16" t="s">
        <v>101</v>
      </c>
      <c r="F347" s="16" t="s">
        <v>162</v>
      </c>
      <c r="G347" s="16" t="s">
        <v>163</v>
      </c>
      <c r="H347" s="16" t="s">
        <v>85</v>
      </c>
      <c r="I347" s="16" t="s">
        <v>40</v>
      </c>
      <c r="J347" s="16" t="s">
        <v>69</v>
      </c>
      <c r="K347" s="16" t="s">
        <v>70</v>
      </c>
      <c r="L347" s="15">
        <v>-2646.2497480000002</v>
      </c>
      <c r="M347" s="15">
        <v>-2646.2497480000002</v>
      </c>
      <c r="N347" s="15">
        <v>-2612.7589755600006</v>
      </c>
      <c r="O347" s="15">
        <v>-33.490772439999319</v>
      </c>
      <c r="P347" s="15">
        <v>0</v>
      </c>
      <c r="Q347" s="15">
        <f t="shared" si="21"/>
        <v>0</v>
      </c>
      <c r="R347" s="15">
        <v>0</v>
      </c>
      <c r="S347" s="15">
        <f t="shared" si="22"/>
        <v>0</v>
      </c>
      <c r="T347" s="16"/>
      <c r="U347" s="15">
        <f t="shared" si="23"/>
        <v>-33.490772439999319</v>
      </c>
    </row>
    <row r="348" spans="1:21" x14ac:dyDescent="0.25">
      <c r="A348" s="16" t="s">
        <v>37</v>
      </c>
      <c r="B348" s="16" t="s">
        <v>257</v>
      </c>
      <c r="C348" s="16" t="s">
        <v>258</v>
      </c>
      <c r="D348" s="16" t="s">
        <v>100</v>
      </c>
      <c r="E348" s="16" t="s">
        <v>101</v>
      </c>
      <c r="F348" s="16" t="s">
        <v>162</v>
      </c>
      <c r="G348" s="16" t="s">
        <v>163</v>
      </c>
      <c r="H348" s="16" t="s">
        <v>85</v>
      </c>
      <c r="I348" s="16" t="s">
        <v>40</v>
      </c>
      <c r="J348" s="16" t="s">
        <v>136</v>
      </c>
      <c r="K348" s="16" t="s">
        <v>137</v>
      </c>
      <c r="L348" s="15">
        <v>-49704.600000000035</v>
      </c>
      <c r="M348" s="15">
        <v>0</v>
      </c>
      <c r="N348" s="15">
        <v>-49704.600000000006</v>
      </c>
      <c r="O348" s="15">
        <v>-2.4556356947869062E-11</v>
      </c>
      <c r="P348" s="15">
        <v>-2.4556356947869062E-11</v>
      </c>
      <c r="Q348" s="15">
        <f t="shared" si="21"/>
        <v>-2.4556356947869062E-11</v>
      </c>
      <c r="R348" s="15">
        <v>0</v>
      </c>
      <c r="S348" s="15">
        <f t="shared" si="22"/>
        <v>-2.4556356947869062E-11</v>
      </c>
      <c r="T348" s="16"/>
      <c r="U348" s="26"/>
    </row>
    <row r="349" spans="1:21" x14ac:dyDescent="0.25">
      <c r="A349" s="16" t="s">
        <v>37</v>
      </c>
      <c r="B349" s="16" t="s">
        <v>265</v>
      </c>
      <c r="C349" s="16" t="s">
        <v>266</v>
      </c>
      <c r="D349" s="16" t="s">
        <v>100</v>
      </c>
      <c r="E349" s="16" t="s">
        <v>101</v>
      </c>
      <c r="F349" s="16" t="s">
        <v>162</v>
      </c>
      <c r="G349" s="16" t="s">
        <v>163</v>
      </c>
      <c r="H349" s="16" t="s">
        <v>85</v>
      </c>
      <c r="I349" s="16" t="s">
        <v>40</v>
      </c>
      <c r="J349" s="16" t="s">
        <v>138</v>
      </c>
      <c r="K349" s="16" t="s">
        <v>139</v>
      </c>
      <c r="L349" s="15">
        <v>-3568.8244732619614</v>
      </c>
      <c r="M349" s="15">
        <v>0</v>
      </c>
      <c r="N349" s="15">
        <v>-3568.8244732619614</v>
      </c>
      <c r="O349" s="15">
        <v>4.2632564145606011E-14</v>
      </c>
      <c r="P349" s="15">
        <v>0</v>
      </c>
      <c r="Q349" s="15">
        <f t="shared" si="21"/>
        <v>0</v>
      </c>
      <c r="R349" s="15">
        <v>0</v>
      </c>
      <c r="S349" s="15">
        <f t="shared" si="22"/>
        <v>0</v>
      </c>
      <c r="T349" s="16"/>
      <c r="U349" s="16"/>
    </row>
    <row r="350" spans="1:21" x14ac:dyDescent="0.25">
      <c r="A350" s="28" t="s">
        <v>37</v>
      </c>
      <c r="B350" s="28" t="s">
        <v>269</v>
      </c>
      <c r="C350" s="28" t="s">
        <v>270</v>
      </c>
      <c r="D350" s="28" t="s">
        <v>100</v>
      </c>
      <c r="E350" s="28" t="s">
        <v>101</v>
      </c>
      <c r="F350" s="28" t="s">
        <v>164</v>
      </c>
      <c r="G350" s="28" t="s">
        <v>165</v>
      </c>
      <c r="H350" s="28" t="s">
        <v>85</v>
      </c>
      <c r="I350" s="28" t="s">
        <v>40</v>
      </c>
      <c r="J350" s="28" t="s">
        <v>38</v>
      </c>
      <c r="K350" s="28" t="s">
        <v>293</v>
      </c>
      <c r="L350" s="29">
        <v>-1045660.8395222391</v>
      </c>
      <c r="M350" s="29">
        <v>-158.74179194710482</v>
      </c>
      <c r="N350" s="29">
        <v>-904406.76801028254</v>
      </c>
      <c r="O350" s="29">
        <v>-141254.07151195646</v>
      </c>
      <c r="P350" s="29">
        <v>-141254.07151195646</v>
      </c>
      <c r="Q350" s="29">
        <f>P350-R350+141254</f>
        <v>-7.1511956455651671E-2</v>
      </c>
      <c r="R350" s="15">
        <v>0</v>
      </c>
      <c r="S350" s="15">
        <f t="shared" si="22"/>
        <v>-7.1511956455651671E-2</v>
      </c>
      <c r="T350" s="16"/>
      <c r="U350" s="16"/>
    </row>
    <row r="351" spans="1:21" x14ac:dyDescent="0.25">
      <c r="A351" s="16" t="s">
        <v>37</v>
      </c>
      <c r="B351" s="16" t="s">
        <v>263</v>
      </c>
      <c r="C351" s="16" t="s">
        <v>264</v>
      </c>
      <c r="D351" s="16" t="s">
        <v>100</v>
      </c>
      <c r="E351" s="16" t="s">
        <v>101</v>
      </c>
      <c r="F351" s="16" t="s">
        <v>164</v>
      </c>
      <c r="G351" s="16" t="s">
        <v>165</v>
      </c>
      <c r="H351" s="16" t="s">
        <v>85</v>
      </c>
      <c r="I351" s="16" t="s">
        <v>40</v>
      </c>
      <c r="J351" s="16" t="s">
        <v>38</v>
      </c>
      <c r="K351" s="16" t="s">
        <v>293</v>
      </c>
      <c r="L351" s="15">
        <v>-1536005.5558986061</v>
      </c>
      <c r="M351" s="15">
        <v>2.0000006770715117E-5</v>
      </c>
      <c r="N351" s="15">
        <v>-1532021.1914343033</v>
      </c>
      <c r="O351" s="15">
        <v>-3984.3644643035368</v>
      </c>
      <c r="P351" s="15">
        <v>-3984.3644643035368</v>
      </c>
      <c r="Q351" s="15">
        <f t="shared" si="21"/>
        <v>-3984.3644643035368</v>
      </c>
      <c r="R351" s="15">
        <v>0</v>
      </c>
      <c r="S351" s="15">
        <f t="shared" si="22"/>
        <v>-3984.3644643035368</v>
      </c>
      <c r="T351" s="16"/>
      <c r="U351" s="16"/>
    </row>
    <row r="352" spans="1:21" x14ac:dyDescent="0.25">
      <c r="A352" s="16" t="s">
        <v>37</v>
      </c>
      <c r="B352" s="16" t="s">
        <v>257</v>
      </c>
      <c r="C352" s="16" t="s">
        <v>258</v>
      </c>
      <c r="D352" s="16" t="s">
        <v>100</v>
      </c>
      <c r="E352" s="16" t="s">
        <v>101</v>
      </c>
      <c r="F352" s="16" t="s">
        <v>164</v>
      </c>
      <c r="G352" s="16" t="s">
        <v>165</v>
      </c>
      <c r="H352" s="16" t="s">
        <v>85</v>
      </c>
      <c r="I352" s="16" t="s">
        <v>40</v>
      </c>
      <c r="J352" s="16" t="s">
        <v>38</v>
      </c>
      <c r="K352" s="16" t="s">
        <v>293</v>
      </c>
      <c r="L352" s="15">
        <v>-437016.1036277588</v>
      </c>
      <c r="M352" s="15">
        <v>-24096.039676495129</v>
      </c>
      <c r="N352" s="15">
        <v>-181334.58529639235</v>
      </c>
      <c r="O352" s="15">
        <v>-255681.51833136647</v>
      </c>
      <c r="P352" s="15">
        <v>-255681.51833136647</v>
      </c>
      <c r="Q352" s="15">
        <f>P352-R352+P350</f>
        <v>-396935.58984332293</v>
      </c>
      <c r="R352" s="15">
        <v>0</v>
      </c>
      <c r="S352" s="15">
        <f t="shared" si="22"/>
        <v>-396935.58984332293</v>
      </c>
      <c r="T352" s="16"/>
      <c r="U352" s="26"/>
    </row>
    <row r="353" spans="1:21" x14ac:dyDescent="0.25">
      <c r="A353" s="16" t="s">
        <v>37</v>
      </c>
      <c r="B353" s="16" t="s">
        <v>257</v>
      </c>
      <c r="C353" s="16" t="s">
        <v>258</v>
      </c>
      <c r="D353" s="16" t="s">
        <v>100</v>
      </c>
      <c r="E353" s="16" t="s">
        <v>101</v>
      </c>
      <c r="F353" s="16" t="s">
        <v>164</v>
      </c>
      <c r="G353" s="16" t="s">
        <v>165</v>
      </c>
      <c r="H353" s="16" t="s">
        <v>85</v>
      </c>
      <c r="I353" s="16" t="s">
        <v>40</v>
      </c>
      <c r="J353" s="16" t="s">
        <v>300</v>
      </c>
      <c r="K353" s="16" t="s">
        <v>301</v>
      </c>
      <c r="L353" s="15">
        <v>-1610.1694915254241</v>
      </c>
      <c r="M353" s="15">
        <v>0</v>
      </c>
      <c r="N353" s="15">
        <v>-1610</v>
      </c>
      <c r="O353" s="15">
        <v>-0.16949152542406409</v>
      </c>
      <c r="P353" s="15">
        <v>-0.16949152542406409</v>
      </c>
      <c r="Q353" s="15">
        <f t="shared" si="21"/>
        <v>-0.16949152542406409</v>
      </c>
      <c r="R353" s="15">
        <v>0</v>
      </c>
      <c r="S353" s="15">
        <f t="shared" si="22"/>
        <v>-0.16949152542406409</v>
      </c>
      <c r="T353" s="16"/>
      <c r="U353" s="26"/>
    </row>
    <row r="354" spans="1:21" x14ac:dyDescent="0.25">
      <c r="A354" s="16" t="s">
        <v>37</v>
      </c>
      <c r="B354" s="16" t="s">
        <v>263</v>
      </c>
      <c r="C354" s="16" t="s">
        <v>264</v>
      </c>
      <c r="D354" s="16" t="s">
        <v>100</v>
      </c>
      <c r="E354" s="16" t="s">
        <v>101</v>
      </c>
      <c r="F354" s="16" t="s">
        <v>164</v>
      </c>
      <c r="G354" s="16" t="s">
        <v>165</v>
      </c>
      <c r="H354" s="16" t="s">
        <v>85</v>
      </c>
      <c r="I354" s="16" t="s">
        <v>40</v>
      </c>
      <c r="J354" s="16" t="s">
        <v>273</v>
      </c>
      <c r="K354" s="16" t="s">
        <v>274</v>
      </c>
      <c r="L354" s="15">
        <v>9.9999997473787516E-6</v>
      </c>
      <c r="M354" s="15">
        <v>9.9999997473787516E-6</v>
      </c>
      <c r="N354" s="15">
        <v>0</v>
      </c>
      <c r="O354" s="15">
        <v>9.9999997473787516E-6</v>
      </c>
      <c r="P354" s="15">
        <v>9.9999997473787516E-6</v>
      </c>
      <c r="Q354" s="15">
        <f t="shared" si="21"/>
        <v>9.9999997473787516E-6</v>
      </c>
      <c r="R354" s="15">
        <v>0</v>
      </c>
      <c r="S354" s="15">
        <f t="shared" si="22"/>
        <v>9.9999997473787516E-6</v>
      </c>
      <c r="T354" s="16"/>
      <c r="U354" s="16"/>
    </row>
    <row r="355" spans="1:21" x14ac:dyDescent="0.25">
      <c r="A355" s="16" t="s">
        <v>37</v>
      </c>
      <c r="B355" s="16" t="s">
        <v>263</v>
      </c>
      <c r="C355" s="16" t="s">
        <v>264</v>
      </c>
      <c r="D355" s="16" t="s">
        <v>100</v>
      </c>
      <c r="E355" s="16" t="s">
        <v>101</v>
      </c>
      <c r="F355" s="16" t="s">
        <v>164</v>
      </c>
      <c r="G355" s="16" t="s">
        <v>165</v>
      </c>
      <c r="H355" s="16" t="s">
        <v>85</v>
      </c>
      <c r="I355" s="16" t="s">
        <v>40</v>
      </c>
      <c r="J355" s="16" t="s">
        <v>275</v>
      </c>
      <c r="K355" s="16" t="s">
        <v>276</v>
      </c>
      <c r="L355" s="15">
        <v>1.0000010661315173E-5</v>
      </c>
      <c r="M355" s="15">
        <v>1.0000010661315173E-5</v>
      </c>
      <c r="N355" s="15">
        <v>0</v>
      </c>
      <c r="O355" s="15">
        <v>1.0000010661315173E-5</v>
      </c>
      <c r="P355" s="15">
        <v>1.0000010661315173E-5</v>
      </c>
      <c r="Q355" s="15">
        <f t="shared" si="21"/>
        <v>1.0000010661315173E-5</v>
      </c>
      <c r="R355" s="15">
        <v>0</v>
      </c>
      <c r="S355" s="15">
        <f t="shared" si="22"/>
        <v>1.0000010661315173E-5</v>
      </c>
      <c r="T355" s="16"/>
      <c r="U355" s="16"/>
    </row>
    <row r="356" spans="1:21" x14ac:dyDescent="0.25">
      <c r="A356" s="16" t="s">
        <v>37</v>
      </c>
      <c r="B356" s="16" t="s">
        <v>263</v>
      </c>
      <c r="C356" s="16" t="s">
        <v>264</v>
      </c>
      <c r="D356" s="16" t="s">
        <v>100</v>
      </c>
      <c r="E356" s="16" t="s">
        <v>101</v>
      </c>
      <c r="F356" s="16" t="s">
        <v>164</v>
      </c>
      <c r="G356" s="16" t="s">
        <v>165</v>
      </c>
      <c r="H356" s="16" t="s">
        <v>85</v>
      </c>
      <c r="I356" s="16" t="s">
        <v>40</v>
      </c>
      <c r="J356" s="16" t="s">
        <v>166</v>
      </c>
      <c r="K356" s="16" t="s">
        <v>167</v>
      </c>
      <c r="L356" s="15">
        <v>-9666.9999899999966</v>
      </c>
      <c r="M356" s="15">
        <v>-9666.9999899999966</v>
      </c>
      <c r="N356" s="15">
        <v>-9667.0000000000018</v>
      </c>
      <c r="O356" s="15">
        <v>1.0000005204346962E-5</v>
      </c>
      <c r="P356" s="15">
        <v>1.0000005204346962E-5</v>
      </c>
      <c r="Q356" s="15">
        <f t="shared" si="21"/>
        <v>1.0000005204346962E-5</v>
      </c>
      <c r="R356" s="15">
        <v>0</v>
      </c>
      <c r="S356" s="15">
        <f t="shared" si="22"/>
        <v>1.0000005204346962E-5</v>
      </c>
      <c r="T356" s="16"/>
      <c r="U356" s="16"/>
    </row>
    <row r="357" spans="1:21" x14ac:dyDescent="0.25">
      <c r="A357" s="16" t="s">
        <v>37</v>
      </c>
      <c r="B357" s="16" t="s">
        <v>269</v>
      </c>
      <c r="C357" s="16" t="s">
        <v>270</v>
      </c>
      <c r="D357" s="16" t="s">
        <v>100</v>
      </c>
      <c r="E357" s="16" t="s">
        <v>101</v>
      </c>
      <c r="F357" s="16" t="s">
        <v>164</v>
      </c>
      <c r="G357" s="16" t="s">
        <v>165</v>
      </c>
      <c r="H357" s="16" t="s">
        <v>85</v>
      </c>
      <c r="I357" s="16" t="s">
        <v>40</v>
      </c>
      <c r="J357" s="16" t="s">
        <v>130</v>
      </c>
      <c r="K357" s="16" t="s">
        <v>131</v>
      </c>
      <c r="L357" s="15">
        <v>-505.1902804578931</v>
      </c>
      <c r="M357" s="15">
        <v>-505.1902804578931</v>
      </c>
      <c r="N357" s="15">
        <v>0</v>
      </c>
      <c r="O357" s="15">
        <v>-505.1902804578931</v>
      </c>
      <c r="P357" s="15">
        <v>-505.1902804578931</v>
      </c>
      <c r="Q357" s="15">
        <f t="shared" si="21"/>
        <v>-505.1902804578931</v>
      </c>
      <c r="R357" s="15">
        <v>0</v>
      </c>
      <c r="S357" s="15">
        <f t="shared" si="22"/>
        <v>-505.1902804578931</v>
      </c>
      <c r="T357" s="16"/>
      <c r="U357" s="16"/>
    </row>
    <row r="358" spans="1:21" x14ac:dyDescent="0.25">
      <c r="A358" s="16" t="s">
        <v>37</v>
      </c>
      <c r="B358" s="16" t="s">
        <v>263</v>
      </c>
      <c r="C358" s="16" t="s">
        <v>264</v>
      </c>
      <c r="D358" s="16" t="s">
        <v>100</v>
      </c>
      <c r="E358" s="16" t="s">
        <v>101</v>
      </c>
      <c r="F358" s="16" t="s">
        <v>164</v>
      </c>
      <c r="G358" s="16" t="s">
        <v>165</v>
      </c>
      <c r="H358" s="16" t="s">
        <v>85</v>
      </c>
      <c r="I358" s="16" t="s">
        <v>40</v>
      </c>
      <c r="J358" s="16" t="s">
        <v>168</v>
      </c>
      <c r="K358" s="16" t="s">
        <v>169</v>
      </c>
      <c r="L358" s="15">
        <v>-435493.14411798702</v>
      </c>
      <c r="M358" s="15">
        <v>-435493.14411798702</v>
      </c>
      <c r="N358" s="15">
        <v>-435493.17960000003</v>
      </c>
      <c r="O358" s="15">
        <v>3.5482012899592519E-2</v>
      </c>
      <c r="P358" s="15">
        <v>3.5482012899592519E-2</v>
      </c>
      <c r="Q358" s="15">
        <f t="shared" si="21"/>
        <v>3.5482012899592519E-2</v>
      </c>
      <c r="R358" s="15">
        <v>0</v>
      </c>
      <c r="S358" s="15">
        <f t="shared" si="22"/>
        <v>3.5482012899592519E-2</v>
      </c>
      <c r="T358" s="16"/>
      <c r="U358" s="16"/>
    </row>
    <row r="359" spans="1:21" x14ac:dyDescent="0.25">
      <c r="A359" s="16" t="s">
        <v>37</v>
      </c>
      <c r="B359" s="16" t="s">
        <v>257</v>
      </c>
      <c r="C359" s="16" t="s">
        <v>258</v>
      </c>
      <c r="D359" s="16" t="s">
        <v>100</v>
      </c>
      <c r="E359" s="16" t="s">
        <v>101</v>
      </c>
      <c r="F359" s="16" t="s">
        <v>164</v>
      </c>
      <c r="G359" s="16" t="s">
        <v>165</v>
      </c>
      <c r="H359" s="16" t="s">
        <v>85</v>
      </c>
      <c r="I359" s="16" t="s">
        <v>40</v>
      </c>
      <c r="J359" s="16" t="s">
        <v>296</v>
      </c>
      <c r="K359" s="16" t="s">
        <v>297</v>
      </c>
      <c r="L359" s="15">
        <v>-4726.7399465557019</v>
      </c>
      <c r="M359" s="15">
        <v>-89.834953749999983</v>
      </c>
      <c r="N359" s="15">
        <v>-4726.4953832000001</v>
      </c>
      <c r="O359" s="15">
        <v>-0.24456335570175725</v>
      </c>
      <c r="P359" s="15">
        <v>-0.24456335570175725</v>
      </c>
      <c r="Q359" s="15">
        <f t="shared" si="21"/>
        <v>-0.24456335570175725</v>
      </c>
      <c r="R359" s="15">
        <v>0</v>
      </c>
      <c r="S359" s="15">
        <f t="shared" si="22"/>
        <v>-0.24456335570175725</v>
      </c>
      <c r="T359" s="16"/>
      <c r="U359" s="26"/>
    </row>
    <row r="360" spans="1:21" x14ac:dyDescent="0.25">
      <c r="A360" s="16" t="s">
        <v>37</v>
      </c>
      <c r="B360" s="16" t="s">
        <v>269</v>
      </c>
      <c r="C360" s="16" t="s">
        <v>270</v>
      </c>
      <c r="D360" s="16" t="s">
        <v>100</v>
      </c>
      <c r="E360" s="16" t="s">
        <v>101</v>
      </c>
      <c r="F360" s="16" t="s">
        <v>164</v>
      </c>
      <c r="G360" s="16" t="s">
        <v>165</v>
      </c>
      <c r="H360" s="16" t="s">
        <v>85</v>
      </c>
      <c r="I360" s="16" t="s">
        <v>40</v>
      </c>
      <c r="J360" s="16" t="s">
        <v>124</v>
      </c>
      <c r="K360" s="16" t="s">
        <v>125</v>
      </c>
      <c r="L360" s="15">
        <v>-1762.1511113870417</v>
      </c>
      <c r="M360" s="15">
        <v>0</v>
      </c>
      <c r="N360" s="15">
        <v>-1644.9299999999985</v>
      </c>
      <c r="O360" s="15">
        <v>-117.22111138704327</v>
      </c>
      <c r="P360" s="15">
        <v>0</v>
      </c>
      <c r="Q360" s="15">
        <f t="shared" si="21"/>
        <v>0</v>
      </c>
      <c r="R360" s="15">
        <v>0</v>
      </c>
      <c r="S360" s="15">
        <f t="shared" si="22"/>
        <v>0</v>
      </c>
      <c r="T360" s="16"/>
      <c r="U360" s="16"/>
    </row>
    <row r="361" spans="1:21" x14ac:dyDescent="0.25">
      <c r="A361" s="16" t="s">
        <v>37</v>
      </c>
      <c r="B361" s="16" t="s">
        <v>263</v>
      </c>
      <c r="C361" s="16" t="s">
        <v>264</v>
      </c>
      <c r="D361" s="16" t="s">
        <v>100</v>
      </c>
      <c r="E361" s="16" t="s">
        <v>101</v>
      </c>
      <c r="F361" s="16" t="s">
        <v>164</v>
      </c>
      <c r="G361" s="16" t="s">
        <v>165</v>
      </c>
      <c r="H361" s="16" t="s">
        <v>85</v>
      </c>
      <c r="I361" s="16" t="s">
        <v>40</v>
      </c>
      <c r="J361" s="16" t="s">
        <v>124</v>
      </c>
      <c r="K361" s="16" t="s">
        <v>125</v>
      </c>
      <c r="L361" s="15">
        <v>-253639.79513602325</v>
      </c>
      <c r="M361" s="15">
        <v>0</v>
      </c>
      <c r="N361" s="15">
        <v>-253639.6887796782</v>
      </c>
      <c r="O361" s="15">
        <v>-0.10635634500067681</v>
      </c>
      <c r="P361" s="15">
        <v>0</v>
      </c>
      <c r="Q361" s="15">
        <f t="shared" si="21"/>
        <v>0</v>
      </c>
      <c r="R361" s="15">
        <v>0</v>
      </c>
      <c r="S361" s="15">
        <f t="shared" si="22"/>
        <v>0</v>
      </c>
      <c r="T361" s="16"/>
      <c r="U361" s="16"/>
    </row>
    <row r="362" spans="1:21" x14ac:dyDescent="0.25">
      <c r="A362" s="16" t="s">
        <v>37</v>
      </c>
      <c r="B362" s="16" t="s">
        <v>257</v>
      </c>
      <c r="C362" s="16" t="s">
        <v>258</v>
      </c>
      <c r="D362" s="16" t="s">
        <v>100</v>
      </c>
      <c r="E362" s="16" t="s">
        <v>101</v>
      </c>
      <c r="F362" s="16" t="s">
        <v>164</v>
      </c>
      <c r="G362" s="16" t="s">
        <v>165</v>
      </c>
      <c r="H362" s="16" t="s">
        <v>85</v>
      </c>
      <c r="I362" s="16" t="s">
        <v>40</v>
      </c>
      <c r="J362" s="16" t="s">
        <v>124</v>
      </c>
      <c r="K362" s="16" t="s">
        <v>125</v>
      </c>
      <c r="L362" s="15">
        <v>-35.563699999999997</v>
      </c>
      <c r="M362" s="15">
        <v>0</v>
      </c>
      <c r="N362" s="15">
        <v>-26.950196000000002</v>
      </c>
      <c r="O362" s="15">
        <v>-8.6135039999999954</v>
      </c>
      <c r="P362" s="15">
        <v>0</v>
      </c>
      <c r="Q362" s="15">
        <f t="shared" si="21"/>
        <v>0</v>
      </c>
      <c r="R362" s="15">
        <v>0</v>
      </c>
      <c r="S362" s="15">
        <f t="shared" si="22"/>
        <v>0</v>
      </c>
      <c r="T362" s="16"/>
      <c r="U362" s="26"/>
    </row>
    <row r="363" spans="1:21" x14ac:dyDescent="0.25">
      <c r="A363" s="16" t="s">
        <v>37</v>
      </c>
      <c r="B363" s="16" t="s">
        <v>257</v>
      </c>
      <c r="C363" s="16" t="s">
        <v>258</v>
      </c>
      <c r="D363" s="16" t="s">
        <v>100</v>
      </c>
      <c r="E363" s="16" t="s">
        <v>101</v>
      </c>
      <c r="F363" s="16" t="s">
        <v>164</v>
      </c>
      <c r="G363" s="16" t="s">
        <v>165</v>
      </c>
      <c r="H363" s="16" t="s">
        <v>85</v>
      </c>
      <c r="I363" s="16" t="s">
        <v>40</v>
      </c>
      <c r="J363" s="16" t="s">
        <v>298</v>
      </c>
      <c r="K363" s="16" t="s">
        <v>299</v>
      </c>
      <c r="L363" s="15">
        <v>-5364.1007987000012</v>
      </c>
      <c r="M363" s="15">
        <v>-219.5775120000001</v>
      </c>
      <c r="N363" s="15">
        <v>-3413.8439890623999</v>
      </c>
      <c r="O363" s="15">
        <v>-1950.2568096376012</v>
      </c>
      <c r="P363" s="15">
        <v>-1950.2568096376012</v>
      </c>
      <c r="Q363" s="15">
        <f t="shared" si="21"/>
        <v>-1950.2568096376012</v>
      </c>
      <c r="R363" s="15">
        <v>0</v>
      </c>
      <c r="S363" s="15">
        <f t="shared" si="22"/>
        <v>-1950.2568096376012</v>
      </c>
      <c r="T363" s="16"/>
      <c r="U363" s="26"/>
    </row>
    <row r="364" spans="1:21" x14ac:dyDescent="0.25">
      <c r="A364" s="16" t="s">
        <v>37</v>
      </c>
      <c r="B364" s="16" t="s">
        <v>269</v>
      </c>
      <c r="C364" s="16" t="s">
        <v>270</v>
      </c>
      <c r="D364" s="16" t="s">
        <v>100</v>
      </c>
      <c r="E364" s="16" t="s">
        <v>101</v>
      </c>
      <c r="F364" s="16" t="s">
        <v>164</v>
      </c>
      <c r="G364" s="16" t="s">
        <v>165</v>
      </c>
      <c r="H364" s="16" t="s">
        <v>85</v>
      </c>
      <c r="I364" s="16" t="s">
        <v>40</v>
      </c>
      <c r="J364" s="16" t="s">
        <v>132</v>
      </c>
      <c r="K364" s="16" t="s">
        <v>133</v>
      </c>
      <c r="L364" s="15">
        <v>-47244.091990828034</v>
      </c>
      <c r="M364" s="15">
        <v>-47244.091990828034</v>
      </c>
      <c r="N364" s="15">
        <v>-47244.089991383909</v>
      </c>
      <c r="O364" s="15">
        <v>-1.9994441099697724E-3</v>
      </c>
      <c r="P364" s="15">
        <v>0</v>
      </c>
      <c r="Q364" s="15">
        <f t="shared" si="21"/>
        <v>0</v>
      </c>
      <c r="R364" s="15">
        <v>0</v>
      </c>
      <c r="S364" s="15">
        <f t="shared" si="22"/>
        <v>0</v>
      </c>
      <c r="T364" s="16"/>
      <c r="U364" s="16"/>
    </row>
    <row r="365" spans="1:21" x14ac:dyDescent="0.25">
      <c r="A365" s="16" t="s">
        <v>37</v>
      </c>
      <c r="B365" s="16" t="s">
        <v>257</v>
      </c>
      <c r="C365" s="16" t="s">
        <v>258</v>
      </c>
      <c r="D365" s="16" t="s">
        <v>100</v>
      </c>
      <c r="E365" s="16" t="s">
        <v>101</v>
      </c>
      <c r="F365" s="16" t="s">
        <v>164</v>
      </c>
      <c r="G365" s="16" t="s">
        <v>165</v>
      </c>
      <c r="H365" s="16" t="s">
        <v>85</v>
      </c>
      <c r="I365" s="16" t="s">
        <v>40</v>
      </c>
      <c r="J365" s="16" t="s">
        <v>302</v>
      </c>
      <c r="K365" s="16" t="s">
        <v>303</v>
      </c>
      <c r="L365" s="15">
        <v>-3389.8305042372876</v>
      </c>
      <c r="M365" s="15">
        <v>0</v>
      </c>
      <c r="N365" s="15">
        <v>-1610.0000000000002</v>
      </c>
      <c r="O365" s="15">
        <v>-1779.8305042372876</v>
      </c>
      <c r="P365" s="15">
        <v>-1779.8305042372876</v>
      </c>
      <c r="Q365" s="15">
        <v>0</v>
      </c>
      <c r="R365" s="15">
        <v>0</v>
      </c>
      <c r="S365" s="15">
        <f t="shared" si="22"/>
        <v>0</v>
      </c>
      <c r="T365" s="16"/>
      <c r="U365" s="26"/>
    </row>
    <row r="366" spans="1:21" x14ac:dyDescent="0.25">
      <c r="A366" s="16" t="s">
        <v>37</v>
      </c>
      <c r="B366" s="16" t="s">
        <v>269</v>
      </c>
      <c r="C366" s="16" t="s">
        <v>270</v>
      </c>
      <c r="D366" s="16" t="s">
        <v>100</v>
      </c>
      <c r="E366" s="16" t="s">
        <v>101</v>
      </c>
      <c r="F366" s="16" t="s">
        <v>164</v>
      </c>
      <c r="G366" s="16" t="s">
        <v>165</v>
      </c>
      <c r="H366" s="16" t="s">
        <v>85</v>
      </c>
      <c r="I366" s="16" t="s">
        <v>40</v>
      </c>
      <c r="J366" s="16" t="s">
        <v>64</v>
      </c>
      <c r="K366" s="16" t="s">
        <v>65</v>
      </c>
      <c r="L366" s="15">
        <v>-424032.71597970952</v>
      </c>
      <c r="M366" s="15">
        <v>0</v>
      </c>
      <c r="N366" s="15">
        <v>-23232.16996318633</v>
      </c>
      <c r="O366" s="15">
        <v>-400800.54601652321</v>
      </c>
      <c r="P366" s="15">
        <v>-400800.54601652321</v>
      </c>
      <c r="Q366" s="15">
        <f t="shared" si="21"/>
        <v>-400800.54601652321</v>
      </c>
      <c r="R366" s="15">
        <v>0</v>
      </c>
      <c r="S366" s="15">
        <f t="shared" si="22"/>
        <v>-400800.54601652321</v>
      </c>
      <c r="T366" s="16"/>
      <c r="U366" s="16"/>
    </row>
    <row r="367" spans="1:21" x14ac:dyDescent="0.25">
      <c r="A367" s="16" t="s">
        <v>37</v>
      </c>
      <c r="B367" s="16" t="s">
        <v>269</v>
      </c>
      <c r="C367" s="16" t="s">
        <v>270</v>
      </c>
      <c r="D367" s="16" t="s">
        <v>100</v>
      </c>
      <c r="E367" s="16" t="s">
        <v>101</v>
      </c>
      <c r="F367" s="16" t="s">
        <v>164</v>
      </c>
      <c r="G367" s="16" t="s">
        <v>165</v>
      </c>
      <c r="H367" s="16" t="s">
        <v>85</v>
      </c>
      <c r="I367" s="16" t="s">
        <v>40</v>
      </c>
      <c r="J367" s="16" t="s">
        <v>66</v>
      </c>
      <c r="K367" s="16" t="s">
        <v>63</v>
      </c>
      <c r="L367" s="15">
        <v>-30979.105424211237</v>
      </c>
      <c r="M367" s="15">
        <v>-30979.105424211237</v>
      </c>
      <c r="N367" s="15">
        <v>-30979.099973732515</v>
      </c>
      <c r="O367" s="15">
        <v>-5.4504787231053342E-3</v>
      </c>
      <c r="P367" s="15">
        <v>0</v>
      </c>
      <c r="Q367" s="15">
        <f t="shared" si="21"/>
        <v>0</v>
      </c>
      <c r="R367" s="15">
        <v>0</v>
      </c>
      <c r="S367" s="15">
        <f t="shared" si="22"/>
        <v>0</v>
      </c>
      <c r="T367" s="16"/>
      <c r="U367" s="16"/>
    </row>
    <row r="368" spans="1:21" x14ac:dyDescent="0.25">
      <c r="A368" s="16" t="s">
        <v>37</v>
      </c>
      <c r="B368" s="16" t="s">
        <v>257</v>
      </c>
      <c r="C368" s="16" t="s">
        <v>258</v>
      </c>
      <c r="D368" s="16" t="s">
        <v>100</v>
      </c>
      <c r="E368" s="16" t="s">
        <v>101</v>
      </c>
      <c r="F368" s="16" t="s">
        <v>164</v>
      </c>
      <c r="G368" s="16" t="s">
        <v>165</v>
      </c>
      <c r="H368" s="16" t="s">
        <v>85</v>
      </c>
      <c r="I368" s="16" t="s">
        <v>40</v>
      </c>
      <c r="J368" s="16" t="s">
        <v>67</v>
      </c>
      <c r="K368" s="16" t="s">
        <v>68</v>
      </c>
      <c r="L368" s="15">
        <v>-3025</v>
      </c>
      <c r="M368" s="15">
        <v>0</v>
      </c>
      <c r="N368" s="15">
        <v>0</v>
      </c>
      <c r="O368" s="15">
        <v>-3025</v>
      </c>
      <c r="P368" s="15">
        <v>-3025</v>
      </c>
      <c r="Q368" s="15">
        <f t="shared" si="21"/>
        <v>-3025</v>
      </c>
      <c r="R368" s="15">
        <v>0</v>
      </c>
      <c r="S368" s="15">
        <f t="shared" si="22"/>
        <v>-3025</v>
      </c>
      <c r="T368" s="16"/>
      <c r="U368" s="26"/>
    </row>
    <row r="369" spans="1:21" x14ac:dyDescent="0.25">
      <c r="A369" s="16" t="s">
        <v>37</v>
      </c>
      <c r="B369" s="16" t="s">
        <v>269</v>
      </c>
      <c r="C369" s="16" t="s">
        <v>270</v>
      </c>
      <c r="D369" s="16" t="s">
        <v>100</v>
      </c>
      <c r="E369" s="16" t="s">
        <v>101</v>
      </c>
      <c r="F369" s="16" t="s">
        <v>164</v>
      </c>
      <c r="G369" s="16" t="s">
        <v>165</v>
      </c>
      <c r="H369" s="16" t="s">
        <v>85</v>
      </c>
      <c r="I369" s="16" t="s">
        <v>40</v>
      </c>
      <c r="J369" s="16" t="s">
        <v>69</v>
      </c>
      <c r="K369" s="16" t="s">
        <v>70</v>
      </c>
      <c r="L369" s="15">
        <v>-47715.850527651281</v>
      </c>
      <c r="M369" s="15">
        <v>-47715.850527651281</v>
      </c>
      <c r="N369" s="15">
        <v>-47715.849915329782</v>
      </c>
      <c r="O369" s="15">
        <v>-6.123214934632415E-4</v>
      </c>
      <c r="P369" s="15">
        <v>0</v>
      </c>
      <c r="Q369" s="15">
        <f t="shared" si="21"/>
        <v>0</v>
      </c>
      <c r="R369" s="15">
        <v>0</v>
      </c>
      <c r="S369" s="15">
        <f t="shared" si="22"/>
        <v>0</v>
      </c>
      <c r="T369" s="16"/>
      <c r="U369" s="15">
        <f t="shared" ref="U369:U370" si="24">O369</f>
        <v>-6.123214934632415E-4</v>
      </c>
    </row>
    <row r="370" spans="1:21" x14ac:dyDescent="0.25">
      <c r="A370" s="16" t="s">
        <v>37</v>
      </c>
      <c r="B370" s="16" t="s">
        <v>257</v>
      </c>
      <c r="C370" s="16" t="s">
        <v>258</v>
      </c>
      <c r="D370" s="16" t="s">
        <v>100</v>
      </c>
      <c r="E370" s="16" t="s">
        <v>101</v>
      </c>
      <c r="F370" s="16" t="s">
        <v>164</v>
      </c>
      <c r="G370" s="16" t="s">
        <v>165</v>
      </c>
      <c r="H370" s="16" t="s">
        <v>85</v>
      </c>
      <c r="I370" s="16" t="s">
        <v>40</v>
      </c>
      <c r="J370" s="16" t="s">
        <v>69</v>
      </c>
      <c r="K370" s="16" t="s">
        <v>70</v>
      </c>
      <c r="L370" s="15">
        <v>-2016.0409810000001</v>
      </c>
      <c r="M370" s="15">
        <v>-2016.0409810000001</v>
      </c>
      <c r="N370" s="15">
        <v>-1990.5260915700003</v>
      </c>
      <c r="O370" s="15">
        <v>-25.514889429999812</v>
      </c>
      <c r="P370" s="15">
        <v>0</v>
      </c>
      <c r="Q370" s="15">
        <f t="shared" si="21"/>
        <v>0</v>
      </c>
      <c r="R370" s="15">
        <v>0</v>
      </c>
      <c r="S370" s="15">
        <f t="shared" si="22"/>
        <v>0</v>
      </c>
      <c r="T370" s="16"/>
      <c r="U370" s="15">
        <f t="shared" si="24"/>
        <v>-25.514889429999812</v>
      </c>
    </row>
    <row r="371" spans="1:21" x14ac:dyDescent="0.25">
      <c r="A371" s="16" t="s">
        <v>37</v>
      </c>
      <c r="B371" s="16" t="s">
        <v>257</v>
      </c>
      <c r="C371" s="16" t="s">
        <v>258</v>
      </c>
      <c r="D371" s="16" t="s">
        <v>100</v>
      </c>
      <c r="E371" s="16" t="s">
        <v>101</v>
      </c>
      <c r="F371" s="16" t="s">
        <v>164</v>
      </c>
      <c r="G371" s="16" t="s">
        <v>165</v>
      </c>
      <c r="H371" s="16" t="s">
        <v>85</v>
      </c>
      <c r="I371" s="16" t="s">
        <v>40</v>
      </c>
      <c r="J371" s="16" t="s">
        <v>136</v>
      </c>
      <c r="K371" s="16" t="s">
        <v>137</v>
      </c>
      <c r="L371" s="15">
        <v>-10809.20000000001</v>
      </c>
      <c r="M371" s="15">
        <v>0</v>
      </c>
      <c r="N371" s="15">
        <v>-10809.199999999999</v>
      </c>
      <c r="O371" s="15">
        <v>-1.0913936421275139E-11</v>
      </c>
      <c r="P371" s="15">
        <v>-1.0913936421275139E-11</v>
      </c>
      <c r="Q371" s="15">
        <f t="shared" si="21"/>
        <v>-1.0913936421275139E-11</v>
      </c>
      <c r="R371" s="15">
        <v>0</v>
      </c>
      <c r="S371" s="15">
        <f t="shared" si="22"/>
        <v>-1.0913936421275139E-11</v>
      </c>
      <c r="T371" s="16"/>
      <c r="U371" s="26"/>
    </row>
    <row r="372" spans="1:21" x14ac:dyDescent="0.25">
      <c r="A372" s="28" t="s">
        <v>37</v>
      </c>
      <c r="B372" s="28" t="s">
        <v>269</v>
      </c>
      <c r="C372" s="28" t="s">
        <v>270</v>
      </c>
      <c r="D372" s="28" t="s">
        <v>100</v>
      </c>
      <c r="E372" s="28" t="s">
        <v>101</v>
      </c>
      <c r="F372" s="28" t="s">
        <v>170</v>
      </c>
      <c r="G372" s="28" t="s">
        <v>171</v>
      </c>
      <c r="H372" s="28" t="s">
        <v>85</v>
      </c>
      <c r="I372" s="28" t="s">
        <v>40</v>
      </c>
      <c r="J372" s="28" t="s">
        <v>38</v>
      </c>
      <c r="K372" s="28" t="s">
        <v>293</v>
      </c>
      <c r="L372" s="29">
        <v>-1565668.5707324019</v>
      </c>
      <c r="M372" s="29">
        <v>-1329.9882717523433</v>
      </c>
      <c r="N372" s="29">
        <v>-1335226.7239692453</v>
      </c>
      <c r="O372" s="29">
        <v>-230441.84676315638</v>
      </c>
      <c r="P372" s="29">
        <v>-230441.84676315638</v>
      </c>
      <c r="Q372" s="31">
        <f>P372-R372+230442</f>
        <v>0.15323684361646883</v>
      </c>
      <c r="R372" s="15">
        <v>0</v>
      </c>
      <c r="S372" s="15">
        <f t="shared" si="22"/>
        <v>0.15323684361646883</v>
      </c>
      <c r="T372" s="16"/>
      <c r="U372" s="16"/>
    </row>
    <row r="373" spans="1:21" x14ac:dyDescent="0.25">
      <c r="A373" s="16" t="s">
        <v>37</v>
      </c>
      <c r="B373" s="16" t="s">
        <v>263</v>
      </c>
      <c r="C373" s="16" t="s">
        <v>264</v>
      </c>
      <c r="D373" s="16" t="s">
        <v>100</v>
      </c>
      <c r="E373" s="16" t="s">
        <v>101</v>
      </c>
      <c r="F373" s="16" t="s">
        <v>170</v>
      </c>
      <c r="G373" s="16" t="s">
        <v>171</v>
      </c>
      <c r="H373" s="16" t="s">
        <v>85</v>
      </c>
      <c r="I373" s="16" t="s">
        <v>40</v>
      </c>
      <c r="J373" s="16" t="s">
        <v>38</v>
      </c>
      <c r="K373" s="16" t="s">
        <v>293</v>
      </c>
      <c r="L373" s="15">
        <v>-2661137.4347683769</v>
      </c>
      <c r="M373" s="15">
        <v>2.0000000063191692E-5</v>
      </c>
      <c r="N373" s="15">
        <v>-2665154.282090697</v>
      </c>
      <c r="O373" s="15">
        <v>4016.8473223203328</v>
      </c>
      <c r="P373" s="15">
        <f>O373</f>
        <v>4016.8473223203328</v>
      </c>
      <c r="Q373" s="15">
        <f t="shared" si="21"/>
        <v>4016.8473223203328</v>
      </c>
      <c r="R373" s="15">
        <v>0</v>
      </c>
      <c r="S373" s="15">
        <f t="shared" si="22"/>
        <v>4016.8473223203328</v>
      </c>
      <c r="T373" s="16"/>
      <c r="U373" s="16"/>
    </row>
    <row r="374" spans="1:21" x14ac:dyDescent="0.25">
      <c r="A374" s="16" t="s">
        <v>37</v>
      </c>
      <c r="B374" s="16" t="s">
        <v>269</v>
      </c>
      <c r="C374" s="16" t="s">
        <v>270</v>
      </c>
      <c r="D374" s="16" t="s">
        <v>100</v>
      </c>
      <c r="E374" s="16" t="s">
        <v>101</v>
      </c>
      <c r="F374" s="16" t="s">
        <v>170</v>
      </c>
      <c r="G374" s="16" t="s">
        <v>171</v>
      </c>
      <c r="H374" s="16" t="s">
        <v>85</v>
      </c>
      <c r="I374" s="16" t="s">
        <v>40</v>
      </c>
      <c r="J374" s="16" t="s">
        <v>130</v>
      </c>
      <c r="K374" s="16" t="s">
        <v>131</v>
      </c>
      <c r="L374" s="15">
        <v>-36.429699098618585</v>
      </c>
      <c r="M374" s="15">
        <v>-36.429699098618585</v>
      </c>
      <c r="N374" s="15">
        <v>0</v>
      </c>
      <c r="O374" s="15">
        <v>-36.429699098618585</v>
      </c>
      <c r="P374" s="15">
        <v>-36.429699098618585</v>
      </c>
      <c r="Q374" s="15">
        <f t="shared" si="21"/>
        <v>-36.429699098618585</v>
      </c>
      <c r="R374" s="15">
        <v>0</v>
      </c>
      <c r="S374" s="15">
        <f t="shared" si="22"/>
        <v>-36.429699098618585</v>
      </c>
      <c r="T374" s="16"/>
      <c r="U374" s="16"/>
    </row>
    <row r="375" spans="1:21" x14ac:dyDescent="0.25">
      <c r="A375" s="16" t="s">
        <v>37</v>
      </c>
      <c r="B375" s="16" t="s">
        <v>263</v>
      </c>
      <c r="C375" s="16" t="s">
        <v>264</v>
      </c>
      <c r="D375" s="16" t="s">
        <v>100</v>
      </c>
      <c r="E375" s="16" t="s">
        <v>101</v>
      </c>
      <c r="F375" s="16" t="s">
        <v>170</v>
      </c>
      <c r="G375" s="16" t="s">
        <v>171</v>
      </c>
      <c r="H375" s="16" t="s">
        <v>85</v>
      </c>
      <c r="I375" s="16" t="s">
        <v>40</v>
      </c>
      <c r="J375" s="16" t="s">
        <v>168</v>
      </c>
      <c r="K375" s="16" t="s">
        <v>169</v>
      </c>
      <c r="L375" s="15">
        <v>0</v>
      </c>
      <c r="M375" s="15">
        <v>0</v>
      </c>
      <c r="N375" s="15">
        <v>1.9999999992137418E-4</v>
      </c>
      <c r="O375" s="15">
        <v>-1.9999999992137418E-4</v>
      </c>
      <c r="P375" s="15">
        <v>-1.9999999992137418E-4</v>
      </c>
      <c r="Q375" s="15">
        <f t="shared" si="21"/>
        <v>-1.9999999992137418E-4</v>
      </c>
      <c r="R375" s="15">
        <v>0</v>
      </c>
      <c r="S375" s="15">
        <f t="shared" si="22"/>
        <v>-1.9999999992137418E-4</v>
      </c>
      <c r="T375" s="16"/>
      <c r="U375" s="16"/>
    </row>
    <row r="376" spans="1:21" x14ac:dyDescent="0.25">
      <c r="A376" s="16" t="s">
        <v>37</v>
      </c>
      <c r="B376" s="16" t="s">
        <v>263</v>
      </c>
      <c r="C376" s="16" t="s">
        <v>264</v>
      </c>
      <c r="D376" s="16" t="s">
        <v>100</v>
      </c>
      <c r="E376" s="16" t="s">
        <v>101</v>
      </c>
      <c r="F376" s="16" t="s">
        <v>170</v>
      </c>
      <c r="G376" s="16" t="s">
        <v>171</v>
      </c>
      <c r="H376" s="16" t="s">
        <v>85</v>
      </c>
      <c r="I376" s="16" t="s">
        <v>40</v>
      </c>
      <c r="J376" s="16" t="s">
        <v>172</v>
      </c>
      <c r="K376" s="16" t="s">
        <v>173</v>
      </c>
      <c r="L376" s="15">
        <v>-1922.8599899998808</v>
      </c>
      <c r="M376" s="15">
        <v>-1922.8599899998808</v>
      </c>
      <c r="N376" s="15">
        <v>-1922.86</v>
      </c>
      <c r="O376" s="15">
        <v>1.0000119232245197E-5</v>
      </c>
      <c r="P376" s="15">
        <v>1.0000119232245197E-5</v>
      </c>
      <c r="Q376" s="15">
        <f t="shared" si="21"/>
        <v>1.0000119232245197E-5</v>
      </c>
      <c r="R376" s="15">
        <v>0</v>
      </c>
      <c r="S376" s="15">
        <f t="shared" si="22"/>
        <v>1.0000119232245197E-5</v>
      </c>
      <c r="T376" s="16"/>
      <c r="U376" s="16"/>
    </row>
    <row r="377" spans="1:21" x14ac:dyDescent="0.25">
      <c r="A377" s="16" t="s">
        <v>37</v>
      </c>
      <c r="B377" s="16" t="s">
        <v>257</v>
      </c>
      <c r="C377" s="16" t="s">
        <v>258</v>
      </c>
      <c r="D377" s="16" t="s">
        <v>100</v>
      </c>
      <c r="E377" s="16" t="s">
        <v>101</v>
      </c>
      <c r="F377" s="16" t="s">
        <v>170</v>
      </c>
      <c r="G377" s="16" t="s">
        <v>171</v>
      </c>
      <c r="H377" s="16" t="s">
        <v>85</v>
      </c>
      <c r="I377" s="16" t="s">
        <v>40</v>
      </c>
      <c r="J377" s="16" t="s">
        <v>296</v>
      </c>
      <c r="K377" s="16" t="s">
        <v>297</v>
      </c>
      <c r="L377" s="15">
        <v>-7105.0150322688969</v>
      </c>
      <c r="M377" s="15">
        <v>-100.15342665</v>
      </c>
      <c r="N377" s="15">
        <v>-7105.0150447999995</v>
      </c>
      <c r="O377" s="15">
        <v>1.253110258403467E-5</v>
      </c>
      <c r="P377" s="15">
        <v>0</v>
      </c>
      <c r="Q377" s="15">
        <f t="shared" si="21"/>
        <v>0</v>
      </c>
      <c r="R377" s="15">
        <v>0</v>
      </c>
      <c r="S377" s="15">
        <f t="shared" si="22"/>
        <v>0</v>
      </c>
      <c r="T377" s="16"/>
      <c r="U377" s="26"/>
    </row>
    <row r="378" spans="1:21" x14ac:dyDescent="0.25">
      <c r="A378" s="16" t="s">
        <v>37</v>
      </c>
      <c r="B378" s="16" t="s">
        <v>269</v>
      </c>
      <c r="C378" s="16" t="s">
        <v>270</v>
      </c>
      <c r="D378" s="16" t="s">
        <v>100</v>
      </c>
      <c r="E378" s="16" t="s">
        <v>101</v>
      </c>
      <c r="F378" s="16" t="s">
        <v>170</v>
      </c>
      <c r="G378" s="16" t="s">
        <v>171</v>
      </c>
      <c r="H378" s="16" t="s">
        <v>85</v>
      </c>
      <c r="I378" s="16" t="s">
        <v>40</v>
      </c>
      <c r="J378" s="16" t="s">
        <v>124</v>
      </c>
      <c r="K378" s="16" t="s">
        <v>125</v>
      </c>
      <c r="L378" s="15">
        <v>-2564.4841274281071</v>
      </c>
      <c r="M378" s="15">
        <v>0</v>
      </c>
      <c r="N378" s="15">
        <v>-2402.9999999999982</v>
      </c>
      <c r="O378" s="15">
        <v>-161.48412742810831</v>
      </c>
      <c r="P378" s="15">
        <v>0</v>
      </c>
      <c r="Q378" s="15">
        <f t="shared" si="21"/>
        <v>0</v>
      </c>
      <c r="R378" s="15">
        <v>0</v>
      </c>
      <c r="S378" s="15">
        <f t="shared" si="22"/>
        <v>0</v>
      </c>
      <c r="T378" s="16"/>
      <c r="U378" s="16"/>
    </row>
    <row r="379" spans="1:21" x14ac:dyDescent="0.25">
      <c r="A379" s="16" t="s">
        <v>37</v>
      </c>
      <c r="B379" s="16" t="s">
        <v>263</v>
      </c>
      <c r="C379" s="16" t="s">
        <v>264</v>
      </c>
      <c r="D379" s="16" t="s">
        <v>100</v>
      </c>
      <c r="E379" s="16" t="s">
        <v>101</v>
      </c>
      <c r="F379" s="16" t="s">
        <v>170</v>
      </c>
      <c r="G379" s="16" t="s">
        <v>171</v>
      </c>
      <c r="H379" s="16" t="s">
        <v>85</v>
      </c>
      <c r="I379" s="16" t="s">
        <v>40</v>
      </c>
      <c r="J379" s="16" t="s">
        <v>124</v>
      </c>
      <c r="K379" s="16" t="s">
        <v>125</v>
      </c>
      <c r="L379" s="15">
        <v>-383022.38531277719</v>
      </c>
      <c r="M379" s="15">
        <v>0</v>
      </c>
      <c r="N379" s="15">
        <v>-383021.86092032172</v>
      </c>
      <c r="O379" s="15">
        <v>-0.52439245529239997</v>
      </c>
      <c r="P379" s="15">
        <v>0</v>
      </c>
      <c r="Q379" s="15">
        <f t="shared" si="21"/>
        <v>0</v>
      </c>
      <c r="R379" s="15">
        <v>0</v>
      </c>
      <c r="S379" s="15">
        <f t="shared" si="22"/>
        <v>0</v>
      </c>
      <c r="T379" s="16"/>
      <c r="U379" s="16"/>
    </row>
    <row r="380" spans="1:21" x14ac:dyDescent="0.25">
      <c r="A380" s="16" t="s">
        <v>37</v>
      </c>
      <c r="B380" s="16" t="s">
        <v>269</v>
      </c>
      <c r="C380" s="16" t="s">
        <v>270</v>
      </c>
      <c r="D380" s="16" t="s">
        <v>100</v>
      </c>
      <c r="E380" s="16" t="s">
        <v>101</v>
      </c>
      <c r="F380" s="16" t="s">
        <v>170</v>
      </c>
      <c r="G380" s="16" t="s">
        <v>171</v>
      </c>
      <c r="H380" s="16" t="s">
        <v>85</v>
      </c>
      <c r="I380" s="16" t="s">
        <v>40</v>
      </c>
      <c r="J380" s="16" t="s">
        <v>132</v>
      </c>
      <c r="K380" s="16" t="s">
        <v>133</v>
      </c>
      <c r="L380" s="15">
        <v>-93924.265407784973</v>
      </c>
      <c r="M380" s="15">
        <v>-93924.265407784973</v>
      </c>
      <c r="N380" s="15">
        <v>-93924.259982870673</v>
      </c>
      <c r="O380" s="15">
        <v>-5.4249142904154724E-3</v>
      </c>
      <c r="P380" s="15">
        <v>0</v>
      </c>
      <c r="Q380" s="15">
        <f t="shared" si="21"/>
        <v>0</v>
      </c>
      <c r="R380" s="15">
        <v>0</v>
      </c>
      <c r="S380" s="15">
        <f t="shared" si="22"/>
        <v>0</v>
      </c>
      <c r="T380" s="16"/>
      <c r="U380" s="16"/>
    </row>
    <row r="381" spans="1:21" x14ac:dyDescent="0.25">
      <c r="A381" s="16" t="s">
        <v>37</v>
      </c>
      <c r="B381" s="16" t="s">
        <v>269</v>
      </c>
      <c r="C381" s="16" t="s">
        <v>270</v>
      </c>
      <c r="D381" s="16" t="s">
        <v>100</v>
      </c>
      <c r="E381" s="16" t="s">
        <v>101</v>
      </c>
      <c r="F381" s="16" t="s">
        <v>170</v>
      </c>
      <c r="G381" s="16" t="s">
        <v>171</v>
      </c>
      <c r="H381" s="16" t="s">
        <v>85</v>
      </c>
      <c r="I381" s="16" t="s">
        <v>40</v>
      </c>
      <c r="J381" s="16" t="s">
        <v>64</v>
      </c>
      <c r="K381" s="16" t="s">
        <v>65</v>
      </c>
      <c r="L381" s="15">
        <v>-635348.79196819058</v>
      </c>
      <c r="M381" s="15">
        <v>0</v>
      </c>
      <c r="N381" s="15">
        <v>-632848.78899718856</v>
      </c>
      <c r="O381" s="15">
        <v>-2500.0029710020754</v>
      </c>
      <c r="P381" s="15">
        <v>-2500.0029710020754</v>
      </c>
      <c r="Q381" s="15">
        <f t="shared" si="21"/>
        <v>-2500.0029710020754</v>
      </c>
      <c r="R381" s="15">
        <v>0</v>
      </c>
      <c r="S381" s="15">
        <f t="shared" si="22"/>
        <v>-2500.0029710020754</v>
      </c>
      <c r="T381" s="16"/>
      <c r="U381" s="16"/>
    </row>
    <row r="382" spans="1:21" x14ac:dyDescent="0.25">
      <c r="A382" s="16" t="s">
        <v>37</v>
      </c>
      <c r="B382" s="16" t="s">
        <v>269</v>
      </c>
      <c r="C382" s="16" t="s">
        <v>270</v>
      </c>
      <c r="D382" s="16" t="s">
        <v>100</v>
      </c>
      <c r="E382" s="16" t="s">
        <v>101</v>
      </c>
      <c r="F382" s="16" t="s">
        <v>170</v>
      </c>
      <c r="G382" s="16" t="s">
        <v>171</v>
      </c>
      <c r="H382" s="16" t="s">
        <v>85</v>
      </c>
      <c r="I382" s="16" t="s">
        <v>40</v>
      </c>
      <c r="J382" s="16" t="s">
        <v>66</v>
      </c>
      <c r="K382" s="16" t="s">
        <v>63</v>
      </c>
      <c r="L382" s="15">
        <v>-6543.8191307614525</v>
      </c>
      <c r="M382" s="15">
        <v>-6543.8191307614525</v>
      </c>
      <c r="N382" s="15">
        <v>-6543.8099944514379</v>
      </c>
      <c r="O382" s="15">
        <v>-9.1363100198122993E-3</v>
      </c>
      <c r="P382" s="15">
        <v>0</v>
      </c>
      <c r="Q382" s="15">
        <f t="shared" si="21"/>
        <v>0</v>
      </c>
      <c r="R382" s="15">
        <v>0</v>
      </c>
      <c r="S382" s="15">
        <f t="shared" si="22"/>
        <v>0</v>
      </c>
      <c r="T382" s="16"/>
      <c r="U382" s="16"/>
    </row>
    <row r="383" spans="1:21" x14ac:dyDescent="0.25">
      <c r="A383" s="16" t="s">
        <v>37</v>
      </c>
      <c r="B383" s="16" t="s">
        <v>263</v>
      </c>
      <c r="C383" s="16" t="s">
        <v>264</v>
      </c>
      <c r="D383" s="16" t="s">
        <v>100</v>
      </c>
      <c r="E383" s="16" t="s">
        <v>101</v>
      </c>
      <c r="F383" s="16" t="s">
        <v>170</v>
      </c>
      <c r="G383" s="16" t="s">
        <v>171</v>
      </c>
      <c r="H383" s="16" t="s">
        <v>85</v>
      </c>
      <c r="I383" s="16" t="s">
        <v>40</v>
      </c>
      <c r="J383" s="16" t="s">
        <v>67</v>
      </c>
      <c r="K383" s="16" t="s">
        <v>68</v>
      </c>
      <c r="L383" s="15">
        <v>-6830.0098999999864</v>
      </c>
      <c r="M383" s="15">
        <v>0</v>
      </c>
      <c r="N383" s="15">
        <v>-6830.0099999999993</v>
      </c>
      <c r="O383" s="15">
        <v>1.0000001202570274E-4</v>
      </c>
      <c r="P383" s="15">
        <v>0</v>
      </c>
      <c r="Q383" s="15">
        <f t="shared" si="21"/>
        <v>0</v>
      </c>
      <c r="R383" s="15">
        <v>0</v>
      </c>
      <c r="S383" s="15">
        <f t="shared" si="22"/>
        <v>0</v>
      </c>
      <c r="T383" s="16"/>
      <c r="U383" s="16"/>
    </row>
    <row r="384" spans="1:21" x14ac:dyDescent="0.25">
      <c r="A384" s="16" t="s">
        <v>37</v>
      </c>
      <c r="B384" s="16" t="s">
        <v>269</v>
      </c>
      <c r="C384" s="16" t="s">
        <v>270</v>
      </c>
      <c r="D384" s="16" t="s">
        <v>100</v>
      </c>
      <c r="E384" s="16" t="s">
        <v>101</v>
      </c>
      <c r="F384" s="16" t="s">
        <v>170</v>
      </c>
      <c r="G384" s="16" t="s">
        <v>171</v>
      </c>
      <c r="H384" s="16" t="s">
        <v>85</v>
      </c>
      <c r="I384" s="16" t="s">
        <v>40</v>
      </c>
      <c r="J384" s="16" t="s">
        <v>69</v>
      </c>
      <c r="K384" s="16" t="s">
        <v>70</v>
      </c>
      <c r="L384" s="15">
        <v>-85949.056882409292</v>
      </c>
      <c r="M384" s="15">
        <v>-85949.056882409292</v>
      </c>
      <c r="N384" s="15">
        <v>-85949.059847486176</v>
      </c>
      <c r="O384" s="15">
        <v>2.9650768938154215E-3</v>
      </c>
      <c r="P384" s="15">
        <v>0</v>
      </c>
      <c r="Q384" s="15">
        <f t="shared" si="21"/>
        <v>0</v>
      </c>
      <c r="R384" s="15">
        <v>0</v>
      </c>
      <c r="S384" s="15">
        <f t="shared" si="22"/>
        <v>0</v>
      </c>
      <c r="T384" s="16"/>
      <c r="U384" s="15">
        <f>O384</f>
        <v>2.9650768938154215E-3</v>
      </c>
    </row>
    <row r="385" spans="1:21" x14ac:dyDescent="0.25">
      <c r="A385" s="16" t="s">
        <v>37</v>
      </c>
      <c r="B385" s="16" t="s">
        <v>263</v>
      </c>
      <c r="C385" s="16" t="s">
        <v>264</v>
      </c>
      <c r="D385" s="16" t="s">
        <v>100</v>
      </c>
      <c r="E385" s="16" t="s">
        <v>101</v>
      </c>
      <c r="F385" s="16" t="s">
        <v>170</v>
      </c>
      <c r="G385" s="16" t="s">
        <v>171</v>
      </c>
      <c r="H385" s="16" t="s">
        <v>85</v>
      </c>
      <c r="I385" s="16" t="s">
        <v>40</v>
      </c>
      <c r="J385" s="16" t="s">
        <v>174</v>
      </c>
      <c r="K385" s="16" t="s">
        <v>175</v>
      </c>
      <c r="L385" s="15">
        <v>0</v>
      </c>
      <c r="M385" s="15">
        <v>0</v>
      </c>
      <c r="N385" s="15">
        <v>16.940200000000001</v>
      </c>
      <c r="O385" s="15">
        <v>-16.940200000000001</v>
      </c>
      <c r="P385" s="15">
        <v>0</v>
      </c>
      <c r="Q385" s="15">
        <f t="shared" si="21"/>
        <v>0</v>
      </c>
      <c r="R385" s="15">
        <v>0</v>
      </c>
      <c r="S385" s="15">
        <f t="shared" si="22"/>
        <v>0</v>
      </c>
      <c r="T385" s="16"/>
      <c r="U385" s="16"/>
    </row>
    <row r="386" spans="1:21" x14ac:dyDescent="0.25">
      <c r="A386" s="28" t="s">
        <v>37</v>
      </c>
      <c r="B386" s="28" t="s">
        <v>269</v>
      </c>
      <c r="C386" s="28" t="s">
        <v>270</v>
      </c>
      <c r="D386" s="28" t="s">
        <v>100</v>
      </c>
      <c r="E386" s="28" t="s">
        <v>101</v>
      </c>
      <c r="F386" s="28" t="s">
        <v>176</v>
      </c>
      <c r="G386" s="28" t="s">
        <v>177</v>
      </c>
      <c r="H386" s="28" t="s">
        <v>85</v>
      </c>
      <c r="I386" s="28" t="s">
        <v>40</v>
      </c>
      <c r="J386" s="28" t="s">
        <v>38</v>
      </c>
      <c r="K386" s="28" t="s">
        <v>293</v>
      </c>
      <c r="L386" s="29">
        <v>-713903.76864850626</v>
      </c>
      <c r="M386" s="29">
        <v>-40073.801037507772</v>
      </c>
      <c r="N386" s="29">
        <v>-646346.39744852704</v>
      </c>
      <c r="O386" s="29">
        <v>-67557.371199979272</v>
      </c>
      <c r="P386" s="29">
        <v>-67557.371199979272</v>
      </c>
      <c r="Q386" s="31">
        <f>P386-R386+67557</f>
        <v>-0.37119997927220538</v>
      </c>
      <c r="R386" s="15">
        <v>0</v>
      </c>
      <c r="S386" s="15">
        <f t="shared" si="22"/>
        <v>-0.37119997927220538</v>
      </c>
      <c r="T386" s="16"/>
      <c r="U386" s="16"/>
    </row>
    <row r="387" spans="1:21" x14ac:dyDescent="0.25">
      <c r="A387" s="16" t="s">
        <v>37</v>
      </c>
      <c r="B387" s="16" t="s">
        <v>261</v>
      </c>
      <c r="C387" s="16" t="s">
        <v>262</v>
      </c>
      <c r="D387" s="16" t="s">
        <v>100</v>
      </c>
      <c r="E387" s="16" t="s">
        <v>101</v>
      </c>
      <c r="F387" s="16" t="s">
        <v>176</v>
      </c>
      <c r="G387" s="16" t="s">
        <v>177</v>
      </c>
      <c r="H387" s="16" t="s">
        <v>85</v>
      </c>
      <c r="I387" s="16" t="s">
        <v>40</v>
      </c>
      <c r="J387" s="16" t="s">
        <v>38</v>
      </c>
      <c r="K387" s="16" t="s">
        <v>293</v>
      </c>
      <c r="L387" s="15">
        <v>-1706161.5700312969</v>
      </c>
      <c r="M387" s="15">
        <v>-750.45</v>
      </c>
      <c r="N387" s="15">
        <v>-1594147.5389106246</v>
      </c>
      <c r="O387" s="15">
        <v>-112014.0311206722</v>
      </c>
      <c r="P387" s="15">
        <v>-112014.0311206722</v>
      </c>
      <c r="Q387" s="15">
        <f t="shared" si="21"/>
        <v>-112014.0311206722</v>
      </c>
      <c r="R387" s="15">
        <v>0</v>
      </c>
      <c r="S387" s="15">
        <f t="shared" si="22"/>
        <v>-112014.0311206722</v>
      </c>
      <c r="T387" s="16"/>
      <c r="U387" s="16"/>
    </row>
    <row r="388" spans="1:21" x14ac:dyDescent="0.25">
      <c r="A388" s="16" t="s">
        <v>37</v>
      </c>
      <c r="B388" s="16" t="s">
        <v>269</v>
      </c>
      <c r="C388" s="16" t="s">
        <v>270</v>
      </c>
      <c r="D388" s="16" t="s">
        <v>100</v>
      </c>
      <c r="E388" s="16" t="s">
        <v>101</v>
      </c>
      <c r="F388" s="16" t="s">
        <v>176</v>
      </c>
      <c r="G388" s="16" t="s">
        <v>177</v>
      </c>
      <c r="H388" s="16" t="s">
        <v>85</v>
      </c>
      <c r="I388" s="16" t="s">
        <v>40</v>
      </c>
      <c r="J388" s="16" t="s">
        <v>130</v>
      </c>
      <c r="K388" s="16" t="s">
        <v>131</v>
      </c>
      <c r="L388" s="15">
        <v>-5517.7300000190498</v>
      </c>
      <c r="M388" s="15">
        <v>-5517.7300000190498</v>
      </c>
      <c r="N388" s="15">
        <v>0</v>
      </c>
      <c r="O388" s="15">
        <v>-5517.7300000190498</v>
      </c>
      <c r="P388" s="15">
        <v>-5517.7300000190498</v>
      </c>
      <c r="Q388" s="15">
        <f t="shared" si="21"/>
        <v>-5517.7300000190498</v>
      </c>
      <c r="R388" s="15">
        <v>0</v>
      </c>
      <c r="S388" s="15">
        <f t="shared" si="22"/>
        <v>-5517.7300000190498</v>
      </c>
      <c r="T388" s="16"/>
      <c r="U388" s="16"/>
    </row>
    <row r="389" spans="1:21" x14ac:dyDescent="0.25">
      <c r="A389" s="16" t="s">
        <v>37</v>
      </c>
      <c r="B389" s="16" t="s">
        <v>257</v>
      </c>
      <c r="C389" s="16" t="s">
        <v>258</v>
      </c>
      <c r="D389" s="16" t="s">
        <v>100</v>
      </c>
      <c r="E389" s="16" t="s">
        <v>101</v>
      </c>
      <c r="F389" s="16" t="s">
        <v>176</v>
      </c>
      <c r="G389" s="16" t="s">
        <v>177</v>
      </c>
      <c r="H389" s="16" t="s">
        <v>85</v>
      </c>
      <c r="I389" s="16" t="s">
        <v>40</v>
      </c>
      <c r="J389" s="16" t="s">
        <v>296</v>
      </c>
      <c r="K389" s="16" t="s">
        <v>297</v>
      </c>
      <c r="L389" s="15">
        <v>-672705.61783522216</v>
      </c>
      <c r="M389" s="15">
        <v>-7029.7908981499986</v>
      </c>
      <c r="N389" s="15">
        <v>-651522.28480000002</v>
      </c>
      <c r="O389" s="15">
        <v>-21183.33303522208</v>
      </c>
      <c r="P389" s="15">
        <v>-21183.33303522208</v>
      </c>
      <c r="Q389" s="15">
        <f t="shared" ref="Q389:Q452" si="25">P389-R389</f>
        <v>-21183.33303522208</v>
      </c>
      <c r="R389" s="15">
        <v>0</v>
      </c>
      <c r="S389" s="15">
        <f t="shared" ref="S389:S452" si="26">SUM(Q389:R389)</f>
        <v>-21183.33303522208</v>
      </c>
      <c r="T389" s="16"/>
      <c r="U389" s="26"/>
    </row>
    <row r="390" spans="1:21" x14ac:dyDescent="0.25">
      <c r="A390" s="16" t="s">
        <v>37</v>
      </c>
      <c r="B390" s="16" t="s">
        <v>269</v>
      </c>
      <c r="C390" s="16" t="s">
        <v>270</v>
      </c>
      <c r="D390" s="16" t="s">
        <v>100</v>
      </c>
      <c r="E390" s="16" t="s">
        <v>101</v>
      </c>
      <c r="F390" s="16" t="s">
        <v>176</v>
      </c>
      <c r="G390" s="16" t="s">
        <v>177</v>
      </c>
      <c r="H390" s="16" t="s">
        <v>85</v>
      </c>
      <c r="I390" s="16" t="s">
        <v>40</v>
      </c>
      <c r="J390" s="16" t="s">
        <v>124</v>
      </c>
      <c r="K390" s="16" t="s">
        <v>125</v>
      </c>
      <c r="L390" s="15">
        <v>-1093.9947011876161</v>
      </c>
      <c r="M390" s="15">
        <v>0</v>
      </c>
      <c r="N390" s="15">
        <v>-672.62999999999943</v>
      </c>
      <c r="O390" s="15">
        <v>-421.36470118761645</v>
      </c>
      <c r="P390" s="15">
        <v>0</v>
      </c>
      <c r="Q390" s="15">
        <f t="shared" si="25"/>
        <v>0</v>
      </c>
      <c r="R390" s="15">
        <v>0</v>
      </c>
      <c r="S390" s="15">
        <f t="shared" si="26"/>
        <v>0</v>
      </c>
      <c r="T390" s="16"/>
      <c r="U390" s="16"/>
    </row>
    <row r="391" spans="1:21" x14ac:dyDescent="0.25">
      <c r="A391" s="16" t="s">
        <v>37</v>
      </c>
      <c r="B391" s="16" t="s">
        <v>261</v>
      </c>
      <c r="C391" s="16" t="s">
        <v>262</v>
      </c>
      <c r="D391" s="16" t="s">
        <v>100</v>
      </c>
      <c r="E391" s="16" t="s">
        <v>101</v>
      </c>
      <c r="F391" s="16" t="s">
        <v>176</v>
      </c>
      <c r="G391" s="16" t="s">
        <v>177</v>
      </c>
      <c r="H391" s="16" t="s">
        <v>85</v>
      </c>
      <c r="I391" s="16" t="s">
        <v>40</v>
      </c>
      <c r="J391" s="16" t="s">
        <v>124</v>
      </c>
      <c r="K391" s="16" t="s">
        <v>125</v>
      </c>
      <c r="L391" s="15">
        <v>-391676.88988095993</v>
      </c>
      <c r="M391" s="15">
        <v>0</v>
      </c>
      <c r="N391" s="15">
        <v>-342262.28268839687</v>
      </c>
      <c r="O391" s="15">
        <v>-49414.607192563155</v>
      </c>
      <c r="P391" s="15">
        <v>0</v>
      </c>
      <c r="Q391" s="15">
        <f t="shared" si="25"/>
        <v>0</v>
      </c>
      <c r="R391" s="15">
        <v>0</v>
      </c>
      <c r="S391" s="15">
        <f t="shared" si="26"/>
        <v>0</v>
      </c>
      <c r="T391" s="16"/>
      <c r="U391" s="16"/>
    </row>
    <row r="392" spans="1:21" x14ac:dyDescent="0.25">
      <c r="A392" s="16" t="s">
        <v>37</v>
      </c>
      <c r="B392" s="16" t="s">
        <v>269</v>
      </c>
      <c r="C392" s="16" t="s">
        <v>270</v>
      </c>
      <c r="D392" s="16" t="s">
        <v>100</v>
      </c>
      <c r="E392" s="16" t="s">
        <v>101</v>
      </c>
      <c r="F392" s="16" t="s">
        <v>176</v>
      </c>
      <c r="G392" s="16" t="s">
        <v>177</v>
      </c>
      <c r="H392" s="16" t="s">
        <v>85</v>
      </c>
      <c r="I392" s="16" t="s">
        <v>40</v>
      </c>
      <c r="J392" s="16" t="s">
        <v>132</v>
      </c>
      <c r="K392" s="16" t="s">
        <v>133</v>
      </c>
      <c r="L392" s="15">
        <v>-36395.066031445327</v>
      </c>
      <c r="M392" s="15">
        <v>-36395.066031445327</v>
      </c>
      <c r="N392" s="15">
        <v>-36395.069993362486</v>
      </c>
      <c r="O392" s="15">
        <v>3.9619171629965422E-3</v>
      </c>
      <c r="P392" s="15">
        <v>0</v>
      </c>
      <c r="Q392" s="15">
        <f t="shared" si="25"/>
        <v>0</v>
      </c>
      <c r="R392" s="15">
        <v>0</v>
      </c>
      <c r="S392" s="15">
        <f t="shared" si="26"/>
        <v>0</v>
      </c>
      <c r="T392" s="16"/>
      <c r="U392" s="16"/>
    </row>
    <row r="393" spans="1:21" x14ac:dyDescent="0.25">
      <c r="A393" s="16" t="s">
        <v>37</v>
      </c>
      <c r="B393" s="16" t="s">
        <v>269</v>
      </c>
      <c r="C393" s="16" t="s">
        <v>270</v>
      </c>
      <c r="D393" s="16" t="s">
        <v>100</v>
      </c>
      <c r="E393" s="16" t="s">
        <v>101</v>
      </c>
      <c r="F393" s="16" t="s">
        <v>176</v>
      </c>
      <c r="G393" s="16" t="s">
        <v>177</v>
      </c>
      <c r="H393" s="16" t="s">
        <v>85</v>
      </c>
      <c r="I393" s="16" t="s">
        <v>40</v>
      </c>
      <c r="J393" s="16" t="s">
        <v>64</v>
      </c>
      <c r="K393" s="16" t="s">
        <v>65</v>
      </c>
      <c r="L393" s="15">
        <v>-136873.13888778549</v>
      </c>
      <c r="M393" s="15">
        <v>0</v>
      </c>
      <c r="N393" s="15">
        <v>-134873.1397862802</v>
      </c>
      <c r="O393" s="15">
        <v>-1999.9991015053329</v>
      </c>
      <c r="P393" s="15">
        <v>-1999.9991015053329</v>
      </c>
      <c r="Q393" s="15">
        <f t="shared" si="25"/>
        <v>-1999.9991015053329</v>
      </c>
      <c r="R393" s="15">
        <v>0</v>
      </c>
      <c r="S393" s="15">
        <f t="shared" si="26"/>
        <v>-1999.9991015053329</v>
      </c>
      <c r="T393" s="16"/>
      <c r="U393" s="16"/>
    </row>
    <row r="394" spans="1:21" x14ac:dyDescent="0.25">
      <c r="A394" s="16" t="s">
        <v>37</v>
      </c>
      <c r="B394" s="16" t="s">
        <v>269</v>
      </c>
      <c r="C394" s="16" t="s">
        <v>270</v>
      </c>
      <c r="D394" s="16" t="s">
        <v>100</v>
      </c>
      <c r="E394" s="16" t="s">
        <v>101</v>
      </c>
      <c r="F394" s="16" t="s">
        <v>176</v>
      </c>
      <c r="G394" s="16" t="s">
        <v>177</v>
      </c>
      <c r="H394" s="16" t="s">
        <v>85</v>
      </c>
      <c r="I394" s="16" t="s">
        <v>40</v>
      </c>
      <c r="J394" s="16" t="s">
        <v>66</v>
      </c>
      <c r="K394" s="16" t="s">
        <v>63</v>
      </c>
      <c r="L394" s="15">
        <v>-86255.197282754845</v>
      </c>
      <c r="M394" s="15">
        <v>-86255.197282754845</v>
      </c>
      <c r="N394" s="15">
        <v>-86255.199926863366</v>
      </c>
      <c r="O394" s="15">
        <v>2.6441085246915463E-3</v>
      </c>
      <c r="P394" s="15">
        <v>0</v>
      </c>
      <c r="Q394" s="15">
        <f t="shared" si="25"/>
        <v>0</v>
      </c>
      <c r="R394" s="15">
        <v>0</v>
      </c>
      <c r="S394" s="15">
        <f t="shared" si="26"/>
        <v>0</v>
      </c>
      <c r="T394" s="16"/>
      <c r="U394" s="16"/>
    </row>
    <row r="395" spans="1:21" x14ac:dyDescent="0.25">
      <c r="A395" s="16" t="s">
        <v>37</v>
      </c>
      <c r="B395" s="16" t="s">
        <v>269</v>
      </c>
      <c r="C395" s="16" t="s">
        <v>270</v>
      </c>
      <c r="D395" s="16" t="s">
        <v>100</v>
      </c>
      <c r="E395" s="16" t="s">
        <v>101</v>
      </c>
      <c r="F395" s="16" t="s">
        <v>176</v>
      </c>
      <c r="G395" s="16" t="s">
        <v>177</v>
      </c>
      <c r="H395" s="16" t="s">
        <v>85</v>
      </c>
      <c r="I395" s="16" t="s">
        <v>40</v>
      </c>
      <c r="J395" s="16" t="s">
        <v>67</v>
      </c>
      <c r="K395" s="16" t="s">
        <v>68</v>
      </c>
      <c r="L395" s="15">
        <v>-34679.999999999993</v>
      </c>
      <c r="M395" s="15">
        <v>0</v>
      </c>
      <c r="N395" s="15">
        <v>0</v>
      </c>
      <c r="O395" s="15">
        <v>-34679.999999999993</v>
      </c>
      <c r="P395" s="15">
        <v>-34679.999999999993</v>
      </c>
      <c r="Q395" s="15">
        <f t="shared" si="25"/>
        <v>-34679.999999999993</v>
      </c>
      <c r="R395" s="15">
        <v>0</v>
      </c>
      <c r="S395" s="15">
        <f t="shared" si="26"/>
        <v>-34679.999999999993</v>
      </c>
      <c r="T395" s="16"/>
      <c r="U395" s="16"/>
    </row>
    <row r="396" spans="1:21" x14ac:dyDescent="0.25">
      <c r="A396" s="16" t="s">
        <v>37</v>
      </c>
      <c r="B396" s="16" t="s">
        <v>269</v>
      </c>
      <c r="C396" s="16" t="s">
        <v>270</v>
      </c>
      <c r="D396" s="16" t="s">
        <v>100</v>
      </c>
      <c r="E396" s="16" t="s">
        <v>101</v>
      </c>
      <c r="F396" s="16" t="s">
        <v>176</v>
      </c>
      <c r="G396" s="16" t="s">
        <v>177</v>
      </c>
      <c r="H396" s="16" t="s">
        <v>85</v>
      </c>
      <c r="I396" s="16" t="s">
        <v>40</v>
      </c>
      <c r="J396" s="16" t="s">
        <v>69</v>
      </c>
      <c r="K396" s="16" t="s">
        <v>70</v>
      </c>
      <c r="L396" s="15">
        <v>-2823.3816809013306</v>
      </c>
      <c r="M396" s="15">
        <v>-2823.3816809013306</v>
      </c>
      <c r="N396" s="15">
        <v>-2823.3799949900035</v>
      </c>
      <c r="O396" s="15">
        <v>-1.6859113266605164E-3</v>
      </c>
      <c r="P396" s="15">
        <v>0</v>
      </c>
      <c r="Q396" s="15">
        <f t="shared" si="25"/>
        <v>0</v>
      </c>
      <c r="R396" s="15">
        <v>0</v>
      </c>
      <c r="S396" s="15">
        <f t="shared" si="26"/>
        <v>0</v>
      </c>
      <c r="T396" s="16"/>
      <c r="U396" s="15">
        <f t="shared" ref="U396:U397" si="27">O396</f>
        <v>-1.6859113266605164E-3</v>
      </c>
    </row>
    <row r="397" spans="1:21" x14ac:dyDescent="0.25">
      <c r="A397" s="16" t="s">
        <v>37</v>
      </c>
      <c r="B397" s="16" t="s">
        <v>261</v>
      </c>
      <c r="C397" s="16" t="s">
        <v>262</v>
      </c>
      <c r="D397" s="16" t="s">
        <v>100</v>
      </c>
      <c r="E397" s="16" t="s">
        <v>101</v>
      </c>
      <c r="F397" s="16" t="s">
        <v>176</v>
      </c>
      <c r="G397" s="16" t="s">
        <v>177</v>
      </c>
      <c r="H397" s="16" t="s">
        <v>85</v>
      </c>
      <c r="I397" s="16" t="s">
        <v>40</v>
      </c>
      <c r="J397" s="16" t="s">
        <v>69</v>
      </c>
      <c r="K397" s="16" t="s">
        <v>70</v>
      </c>
      <c r="L397" s="15">
        <v>-16388.579996496002</v>
      </c>
      <c r="M397" s="15">
        <v>-16388.580000000002</v>
      </c>
      <c r="N397" s="15">
        <v>-14891.886400000001</v>
      </c>
      <c r="O397" s="15">
        <v>-1496.6935964959976</v>
      </c>
      <c r="P397" s="15">
        <v>0</v>
      </c>
      <c r="Q397" s="15">
        <f t="shared" si="25"/>
        <v>0</v>
      </c>
      <c r="R397" s="15">
        <v>0</v>
      </c>
      <c r="S397" s="15">
        <f t="shared" si="26"/>
        <v>0</v>
      </c>
      <c r="T397" s="16"/>
      <c r="U397" s="15">
        <f t="shared" si="27"/>
        <v>-1496.6935964959976</v>
      </c>
    </row>
    <row r="398" spans="1:21" x14ac:dyDescent="0.25">
      <c r="A398" s="28" t="s">
        <v>37</v>
      </c>
      <c r="B398" s="28" t="s">
        <v>269</v>
      </c>
      <c r="C398" s="28" t="s">
        <v>270</v>
      </c>
      <c r="D398" s="28" t="s">
        <v>100</v>
      </c>
      <c r="E398" s="28" t="s">
        <v>101</v>
      </c>
      <c r="F398" s="28" t="s">
        <v>178</v>
      </c>
      <c r="G398" s="28" t="s">
        <v>179</v>
      </c>
      <c r="H398" s="28" t="s">
        <v>85</v>
      </c>
      <c r="I398" s="28" t="s">
        <v>40</v>
      </c>
      <c r="J398" s="28" t="s">
        <v>38</v>
      </c>
      <c r="K398" s="28" t="s">
        <v>293</v>
      </c>
      <c r="L398" s="29">
        <v>-599670.67606809363</v>
      </c>
      <c r="M398" s="29">
        <v>-44580.246590751456</v>
      </c>
      <c r="N398" s="29">
        <v>-570812.96970201645</v>
      </c>
      <c r="O398" s="29">
        <v>-28857.706366077226</v>
      </c>
      <c r="P398" s="29">
        <v>-28857.706366077226</v>
      </c>
      <c r="Q398" s="29">
        <f>P398-R398+28858</f>
        <v>0.2936339227744611</v>
      </c>
      <c r="R398" s="15">
        <v>0</v>
      </c>
      <c r="S398" s="15">
        <f t="shared" si="26"/>
        <v>0.2936339227744611</v>
      </c>
      <c r="T398" s="16"/>
      <c r="U398" s="16"/>
    </row>
    <row r="399" spans="1:21" x14ac:dyDescent="0.25">
      <c r="A399" s="16" t="s">
        <v>37</v>
      </c>
      <c r="B399" s="16" t="s">
        <v>265</v>
      </c>
      <c r="C399" s="16" t="s">
        <v>266</v>
      </c>
      <c r="D399" s="16" t="s">
        <v>100</v>
      </c>
      <c r="E399" s="16" t="s">
        <v>101</v>
      </c>
      <c r="F399" s="16" t="s">
        <v>178</v>
      </c>
      <c r="G399" s="16" t="s">
        <v>179</v>
      </c>
      <c r="H399" s="16" t="s">
        <v>85</v>
      </c>
      <c r="I399" s="16" t="s">
        <v>40</v>
      </c>
      <c r="J399" s="16" t="s">
        <v>38</v>
      </c>
      <c r="K399" s="16" t="s">
        <v>293</v>
      </c>
      <c r="L399" s="15">
        <v>-617567.90083874192</v>
      </c>
      <c r="M399" s="15">
        <v>-13291.52027541761</v>
      </c>
      <c r="N399" s="15">
        <v>-572273.01751935342</v>
      </c>
      <c r="O399" s="15">
        <v>-45294.883319388638</v>
      </c>
      <c r="P399" s="15">
        <v>-45294.883319388638</v>
      </c>
      <c r="Q399" s="15">
        <f t="shared" si="25"/>
        <v>-45294.883319388638</v>
      </c>
      <c r="R399" s="15">
        <v>0</v>
      </c>
      <c r="S399" s="15">
        <f t="shared" si="26"/>
        <v>-45294.883319388638</v>
      </c>
      <c r="T399" s="16"/>
      <c r="U399" s="16"/>
    </row>
    <row r="400" spans="1:21" x14ac:dyDescent="0.25">
      <c r="A400" s="16" t="s">
        <v>37</v>
      </c>
      <c r="B400" s="16" t="s">
        <v>277</v>
      </c>
      <c r="C400" s="16" t="s">
        <v>278</v>
      </c>
      <c r="D400" s="16" t="s">
        <v>100</v>
      </c>
      <c r="E400" s="16" t="s">
        <v>101</v>
      </c>
      <c r="F400" s="16" t="s">
        <v>178</v>
      </c>
      <c r="G400" s="16" t="s">
        <v>179</v>
      </c>
      <c r="H400" s="16" t="s">
        <v>85</v>
      </c>
      <c r="I400" s="16" t="s">
        <v>40</v>
      </c>
      <c r="J400" s="16" t="s">
        <v>38</v>
      </c>
      <c r="K400" s="16" t="s">
        <v>293</v>
      </c>
      <c r="L400" s="15">
        <v>-878352.55020000017</v>
      </c>
      <c r="M400" s="15">
        <v>-147728.54999999999</v>
      </c>
      <c r="N400" s="15">
        <v>-878352.54920000001</v>
      </c>
      <c r="O400" s="15">
        <v>-9.9999998928979039E-4</v>
      </c>
      <c r="P400" s="15">
        <v>-9.9999998928979039E-4</v>
      </c>
      <c r="Q400" s="15">
        <f t="shared" si="25"/>
        <v>-9.9999998928979039E-4</v>
      </c>
      <c r="R400" s="15">
        <v>0</v>
      </c>
      <c r="S400" s="15">
        <f t="shared" si="26"/>
        <v>-9.9999998928979039E-4</v>
      </c>
      <c r="T400" s="16"/>
      <c r="U400" s="16"/>
    </row>
    <row r="401" spans="1:21" x14ac:dyDescent="0.25">
      <c r="A401" s="16" t="s">
        <v>37</v>
      </c>
      <c r="B401" s="16" t="s">
        <v>261</v>
      </c>
      <c r="C401" s="16" t="s">
        <v>262</v>
      </c>
      <c r="D401" s="16" t="s">
        <v>100</v>
      </c>
      <c r="E401" s="16" t="s">
        <v>101</v>
      </c>
      <c r="F401" s="16" t="s">
        <v>178</v>
      </c>
      <c r="G401" s="16" t="s">
        <v>179</v>
      </c>
      <c r="H401" s="16" t="s">
        <v>85</v>
      </c>
      <c r="I401" s="16" t="s">
        <v>40</v>
      </c>
      <c r="J401" s="16" t="s">
        <v>38</v>
      </c>
      <c r="K401" s="16" t="s">
        <v>293</v>
      </c>
      <c r="L401" s="15">
        <v>-868961.53581067524</v>
      </c>
      <c r="M401" s="15">
        <v>-9576.56</v>
      </c>
      <c r="N401" s="15">
        <v>-744341.56553824153</v>
      </c>
      <c r="O401" s="15">
        <v>-124619.97027243386</v>
      </c>
      <c r="P401" s="15">
        <v>-124619.97027243386</v>
      </c>
      <c r="Q401" s="15">
        <f t="shared" si="25"/>
        <v>-124619.97027243386</v>
      </c>
      <c r="R401" s="15">
        <v>0</v>
      </c>
      <c r="S401" s="15">
        <f t="shared" si="26"/>
        <v>-124619.97027243386</v>
      </c>
      <c r="T401" s="16"/>
      <c r="U401" s="16"/>
    </row>
    <row r="402" spans="1:21" x14ac:dyDescent="0.25">
      <c r="A402" s="16" t="s">
        <v>37</v>
      </c>
      <c r="B402" s="16" t="s">
        <v>257</v>
      </c>
      <c r="C402" s="16" t="s">
        <v>258</v>
      </c>
      <c r="D402" s="16" t="s">
        <v>100</v>
      </c>
      <c r="E402" s="16" t="s">
        <v>101</v>
      </c>
      <c r="F402" s="16" t="s">
        <v>178</v>
      </c>
      <c r="G402" s="16" t="s">
        <v>179</v>
      </c>
      <c r="H402" s="16" t="s">
        <v>85</v>
      </c>
      <c r="I402" s="16" t="s">
        <v>40</v>
      </c>
      <c r="J402" s="16" t="s">
        <v>38</v>
      </c>
      <c r="K402" s="16" t="s">
        <v>293</v>
      </c>
      <c r="L402" s="15">
        <v>-5085626.7946789786</v>
      </c>
      <c r="M402" s="15">
        <v>-402811.03836636822</v>
      </c>
      <c r="N402" s="15">
        <v>-3031608.8322435846</v>
      </c>
      <c r="O402" s="15">
        <v>-2054017.9624353938</v>
      </c>
      <c r="P402" s="15">
        <v>-2054017.9624353938</v>
      </c>
      <c r="Q402" s="15">
        <f>P402-R402+P398</f>
        <v>-2082875.6688014711</v>
      </c>
      <c r="R402" s="15">
        <v>0</v>
      </c>
      <c r="S402" s="15">
        <f t="shared" si="26"/>
        <v>-2082875.6688014711</v>
      </c>
      <c r="T402" s="16"/>
      <c r="U402" s="26"/>
    </row>
    <row r="403" spans="1:21" x14ac:dyDescent="0.25">
      <c r="A403" s="16" t="s">
        <v>37</v>
      </c>
      <c r="B403" s="16" t="s">
        <v>257</v>
      </c>
      <c r="C403" s="16" t="s">
        <v>258</v>
      </c>
      <c r="D403" s="16" t="s">
        <v>100</v>
      </c>
      <c r="E403" s="16" t="s">
        <v>101</v>
      </c>
      <c r="F403" s="16" t="s">
        <v>178</v>
      </c>
      <c r="G403" s="16" t="s">
        <v>179</v>
      </c>
      <c r="H403" s="16" t="s">
        <v>85</v>
      </c>
      <c r="I403" s="16" t="s">
        <v>40</v>
      </c>
      <c r="J403" s="16" t="s">
        <v>300</v>
      </c>
      <c r="K403" s="16" t="s">
        <v>301</v>
      </c>
      <c r="L403" s="15">
        <v>-1610.1694915254241</v>
      </c>
      <c r="M403" s="15">
        <v>0</v>
      </c>
      <c r="N403" s="15">
        <v>-1610</v>
      </c>
      <c r="O403" s="15">
        <v>-0.16949152542400725</v>
      </c>
      <c r="P403" s="15">
        <v>-0.16949152542400725</v>
      </c>
      <c r="Q403" s="15">
        <f t="shared" si="25"/>
        <v>-0.16949152542400725</v>
      </c>
      <c r="R403" s="15">
        <v>0</v>
      </c>
      <c r="S403" s="15">
        <f t="shared" si="26"/>
        <v>-0.16949152542400725</v>
      </c>
      <c r="T403" s="16"/>
      <c r="U403" s="26"/>
    </row>
    <row r="404" spans="1:21" x14ac:dyDescent="0.25">
      <c r="A404" s="16" t="s">
        <v>37</v>
      </c>
      <c r="B404" s="16" t="s">
        <v>257</v>
      </c>
      <c r="C404" s="16" t="s">
        <v>258</v>
      </c>
      <c r="D404" s="16" t="s">
        <v>100</v>
      </c>
      <c r="E404" s="16" t="s">
        <v>101</v>
      </c>
      <c r="F404" s="16" t="s">
        <v>178</v>
      </c>
      <c r="G404" s="16" t="s">
        <v>179</v>
      </c>
      <c r="H404" s="16" t="s">
        <v>85</v>
      </c>
      <c r="I404" s="16" t="s">
        <v>40</v>
      </c>
      <c r="J404" s="16" t="s">
        <v>142</v>
      </c>
      <c r="K404" s="16" t="s">
        <v>143</v>
      </c>
      <c r="L404" s="15">
        <v>-22574.776000000002</v>
      </c>
      <c r="M404" s="15">
        <v>0</v>
      </c>
      <c r="N404" s="15">
        <v>0</v>
      </c>
      <c r="O404" s="15">
        <v>-22574.776000000002</v>
      </c>
      <c r="P404" s="15">
        <v>-22574.776000000002</v>
      </c>
      <c r="Q404" s="15">
        <f t="shared" si="25"/>
        <v>-22574.776000000002</v>
      </c>
      <c r="R404" s="15">
        <v>0</v>
      </c>
      <c r="S404" s="15">
        <f t="shared" si="26"/>
        <v>-22574.776000000002</v>
      </c>
      <c r="T404" s="16"/>
      <c r="U404" s="26"/>
    </row>
    <row r="405" spans="1:21" x14ac:dyDescent="0.25">
      <c r="A405" s="16" t="s">
        <v>37</v>
      </c>
      <c r="B405" s="16" t="s">
        <v>269</v>
      </c>
      <c r="C405" s="16" t="s">
        <v>270</v>
      </c>
      <c r="D405" s="16" t="s">
        <v>100</v>
      </c>
      <c r="E405" s="16" t="s">
        <v>101</v>
      </c>
      <c r="F405" s="16" t="s">
        <v>178</v>
      </c>
      <c r="G405" s="16" t="s">
        <v>179</v>
      </c>
      <c r="H405" s="16" t="s">
        <v>85</v>
      </c>
      <c r="I405" s="16" t="s">
        <v>40</v>
      </c>
      <c r="J405" s="16" t="s">
        <v>130</v>
      </c>
      <c r="K405" s="16" t="s">
        <v>131</v>
      </c>
      <c r="L405" s="15">
        <v>-8977.2300000309951</v>
      </c>
      <c r="M405" s="15">
        <v>-8977.2300000309951</v>
      </c>
      <c r="N405" s="15">
        <v>0</v>
      </c>
      <c r="O405" s="15">
        <v>-8977.2300000309951</v>
      </c>
      <c r="P405" s="15">
        <v>-8977.2300000309951</v>
      </c>
      <c r="Q405" s="15">
        <f t="shared" si="25"/>
        <v>-8977.2300000309951</v>
      </c>
      <c r="R405" s="15">
        <v>0</v>
      </c>
      <c r="S405" s="15">
        <f t="shared" si="26"/>
        <v>-8977.2300000309951</v>
      </c>
      <c r="T405" s="16"/>
      <c r="U405" s="16"/>
    </row>
    <row r="406" spans="1:21" x14ac:dyDescent="0.25">
      <c r="A406" s="16" t="s">
        <v>37</v>
      </c>
      <c r="B406" s="16" t="s">
        <v>257</v>
      </c>
      <c r="C406" s="16" t="s">
        <v>258</v>
      </c>
      <c r="D406" s="16" t="s">
        <v>100</v>
      </c>
      <c r="E406" s="16" t="s">
        <v>101</v>
      </c>
      <c r="F406" s="16" t="s">
        <v>178</v>
      </c>
      <c r="G406" s="16" t="s">
        <v>179</v>
      </c>
      <c r="H406" s="16" t="s">
        <v>85</v>
      </c>
      <c r="I406" s="16" t="s">
        <v>40</v>
      </c>
      <c r="J406" s="16" t="s">
        <v>296</v>
      </c>
      <c r="K406" s="16" t="s">
        <v>297</v>
      </c>
      <c r="L406" s="15">
        <v>-1060.989999358</v>
      </c>
      <c r="M406" s="15">
        <v>0</v>
      </c>
      <c r="N406" s="15">
        <v>-560.3043439999999</v>
      </c>
      <c r="O406" s="15">
        <v>-500.68565535800008</v>
      </c>
      <c r="P406" s="15">
        <v>-500.68565535800008</v>
      </c>
      <c r="Q406" s="15">
        <f t="shared" si="25"/>
        <v>-500.68565535800008</v>
      </c>
      <c r="R406" s="15">
        <v>0</v>
      </c>
      <c r="S406" s="15">
        <f t="shared" si="26"/>
        <v>-500.68565535800008</v>
      </c>
      <c r="T406" s="16"/>
      <c r="U406" s="26"/>
    </row>
    <row r="407" spans="1:21" x14ac:dyDescent="0.25">
      <c r="A407" s="16" t="s">
        <v>37</v>
      </c>
      <c r="B407" s="16" t="s">
        <v>269</v>
      </c>
      <c r="C407" s="16" t="s">
        <v>270</v>
      </c>
      <c r="D407" s="16" t="s">
        <v>100</v>
      </c>
      <c r="E407" s="16" t="s">
        <v>101</v>
      </c>
      <c r="F407" s="16" t="s">
        <v>178</v>
      </c>
      <c r="G407" s="16" t="s">
        <v>179</v>
      </c>
      <c r="H407" s="16" t="s">
        <v>85</v>
      </c>
      <c r="I407" s="16" t="s">
        <v>40</v>
      </c>
      <c r="J407" s="16" t="s">
        <v>124</v>
      </c>
      <c r="K407" s="16" t="s">
        <v>125</v>
      </c>
      <c r="L407" s="15">
        <v>-993.19764274153135</v>
      </c>
      <c r="M407" s="15">
        <v>0</v>
      </c>
      <c r="N407" s="15">
        <v>-786.56999999999948</v>
      </c>
      <c r="O407" s="15">
        <v>-206.62764274153199</v>
      </c>
      <c r="P407" s="15">
        <v>0</v>
      </c>
      <c r="Q407" s="15">
        <f t="shared" si="25"/>
        <v>0</v>
      </c>
      <c r="R407" s="15">
        <v>0</v>
      </c>
      <c r="S407" s="15">
        <f t="shared" si="26"/>
        <v>0</v>
      </c>
      <c r="T407" s="16"/>
      <c r="U407" s="16"/>
    </row>
    <row r="408" spans="1:21" x14ac:dyDescent="0.25">
      <c r="A408" s="16" t="s">
        <v>37</v>
      </c>
      <c r="B408" s="16" t="s">
        <v>265</v>
      </c>
      <c r="C408" s="16" t="s">
        <v>266</v>
      </c>
      <c r="D408" s="16" t="s">
        <v>100</v>
      </c>
      <c r="E408" s="16" t="s">
        <v>101</v>
      </c>
      <c r="F408" s="16" t="s">
        <v>178</v>
      </c>
      <c r="G408" s="16" t="s">
        <v>179</v>
      </c>
      <c r="H408" s="16" t="s">
        <v>85</v>
      </c>
      <c r="I408" s="16" t="s">
        <v>40</v>
      </c>
      <c r="J408" s="16" t="s">
        <v>124</v>
      </c>
      <c r="K408" s="16" t="s">
        <v>125</v>
      </c>
      <c r="L408" s="15">
        <v>-145496.28179522578</v>
      </c>
      <c r="M408" s="15">
        <v>0</v>
      </c>
      <c r="N408" s="15">
        <v>-144387.51979604573</v>
      </c>
      <c r="O408" s="15">
        <v>-1108.7619991800748</v>
      </c>
      <c r="P408" s="15">
        <v>0</v>
      </c>
      <c r="Q408" s="15">
        <f t="shared" si="25"/>
        <v>0</v>
      </c>
      <c r="R408" s="15">
        <v>0</v>
      </c>
      <c r="S408" s="15">
        <f t="shared" si="26"/>
        <v>0</v>
      </c>
      <c r="T408" s="16"/>
      <c r="U408" s="16"/>
    </row>
    <row r="409" spans="1:21" x14ac:dyDescent="0.25">
      <c r="A409" s="16" t="s">
        <v>37</v>
      </c>
      <c r="B409" s="16" t="s">
        <v>277</v>
      </c>
      <c r="C409" s="16" t="s">
        <v>278</v>
      </c>
      <c r="D409" s="16" t="s">
        <v>100</v>
      </c>
      <c r="E409" s="16" t="s">
        <v>101</v>
      </c>
      <c r="F409" s="16" t="s">
        <v>178</v>
      </c>
      <c r="G409" s="16" t="s">
        <v>179</v>
      </c>
      <c r="H409" s="16" t="s">
        <v>85</v>
      </c>
      <c r="I409" s="16" t="s">
        <v>40</v>
      </c>
      <c r="J409" s="16" t="s">
        <v>124</v>
      </c>
      <c r="K409" s="16" t="s">
        <v>125</v>
      </c>
      <c r="L409" s="15">
        <v>-196240</v>
      </c>
      <c r="M409" s="15">
        <v>0</v>
      </c>
      <c r="N409" s="15">
        <v>-154794.64000000001</v>
      </c>
      <c r="O409" s="15">
        <v>-41445.36000000003</v>
      </c>
      <c r="P409" s="15">
        <v>0</v>
      </c>
      <c r="Q409" s="15">
        <f t="shared" si="25"/>
        <v>0</v>
      </c>
      <c r="R409" s="15">
        <v>0</v>
      </c>
      <c r="S409" s="15">
        <f t="shared" si="26"/>
        <v>0</v>
      </c>
      <c r="T409" s="16"/>
      <c r="U409" s="16"/>
    </row>
    <row r="410" spans="1:21" x14ac:dyDescent="0.25">
      <c r="A410" s="16" t="s">
        <v>37</v>
      </c>
      <c r="B410" s="16" t="s">
        <v>261</v>
      </c>
      <c r="C410" s="16" t="s">
        <v>262</v>
      </c>
      <c r="D410" s="16" t="s">
        <v>100</v>
      </c>
      <c r="E410" s="16" t="s">
        <v>101</v>
      </c>
      <c r="F410" s="16" t="s">
        <v>178</v>
      </c>
      <c r="G410" s="16" t="s">
        <v>179</v>
      </c>
      <c r="H410" s="16" t="s">
        <v>85</v>
      </c>
      <c r="I410" s="16" t="s">
        <v>40</v>
      </c>
      <c r="J410" s="16" t="s">
        <v>124</v>
      </c>
      <c r="K410" s="16" t="s">
        <v>125</v>
      </c>
      <c r="L410" s="15">
        <v>-50257.803028530005</v>
      </c>
      <c r="M410" s="15">
        <v>0</v>
      </c>
      <c r="N410" s="15">
        <v>-47060.817079905602</v>
      </c>
      <c r="O410" s="15">
        <v>-3196.9859486243968</v>
      </c>
      <c r="P410" s="15">
        <v>0</v>
      </c>
      <c r="Q410" s="15">
        <f t="shared" si="25"/>
        <v>0</v>
      </c>
      <c r="R410" s="15">
        <v>0</v>
      </c>
      <c r="S410" s="15">
        <f t="shared" si="26"/>
        <v>0</v>
      </c>
      <c r="T410" s="16"/>
      <c r="U410" s="16"/>
    </row>
    <row r="411" spans="1:21" x14ac:dyDescent="0.25">
      <c r="A411" s="16" t="s">
        <v>37</v>
      </c>
      <c r="B411" s="16" t="s">
        <v>257</v>
      </c>
      <c r="C411" s="16" t="s">
        <v>258</v>
      </c>
      <c r="D411" s="16" t="s">
        <v>100</v>
      </c>
      <c r="E411" s="16" t="s">
        <v>101</v>
      </c>
      <c r="F411" s="16" t="s">
        <v>178</v>
      </c>
      <c r="G411" s="16" t="s">
        <v>179</v>
      </c>
      <c r="H411" s="16" t="s">
        <v>85</v>
      </c>
      <c r="I411" s="16" t="s">
        <v>40</v>
      </c>
      <c r="J411" s="16" t="s">
        <v>124</v>
      </c>
      <c r="K411" s="16" t="s">
        <v>125</v>
      </c>
      <c r="L411" s="15">
        <v>-99.70259999999999</v>
      </c>
      <c r="M411" s="15">
        <v>0</v>
      </c>
      <c r="N411" s="15">
        <v>-75.437747999999999</v>
      </c>
      <c r="O411" s="15">
        <v>-24.264851999999991</v>
      </c>
      <c r="P411" s="15">
        <v>0</v>
      </c>
      <c r="Q411" s="15">
        <f t="shared" si="25"/>
        <v>0</v>
      </c>
      <c r="R411" s="15">
        <v>0</v>
      </c>
      <c r="S411" s="15">
        <f t="shared" si="26"/>
        <v>0</v>
      </c>
      <c r="T411" s="16"/>
      <c r="U411" s="26"/>
    </row>
    <row r="412" spans="1:21" x14ac:dyDescent="0.25">
      <c r="A412" s="16" t="s">
        <v>37</v>
      </c>
      <c r="B412" s="16" t="s">
        <v>257</v>
      </c>
      <c r="C412" s="16" t="s">
        <v>258</v>
      </c>
      <c r="D412" s="16" t="s">
        <v>100</v>
      </c>
      <c r="E412" s="16" t="s">
        <v>101</v>
      </c>
      <c r="F412" s="16" t="s">
        <v>178</v>
      </c>
      <c r="G412" s="16" t="s">
        <v>179</v>
      </c>
      <c r="H412" s="16" t="s">
        <v>85</v>
      </c>
      <c r="I412" s="16" t="s">
        <v>40</v>
      </c>
      <c r="J412" s="16" t="s">
        <v>298</v>
      </c>
      <c r="K412" s="16" t="s">
        <v>299</v>
      </c>
      <c r="L412" s="15">
        <v>-2910.1569307800005</v>
      </c>
      <c r="M412" s="15">
        <v>-119.05663800000001</v>
      </c>
      <c r="N412" s="15">
        <v>-1850.7958025768003</v>
      </c>
      <c r="O412" s="15">
        <v>-1059.3611282032011</v>
      </c>
      <c r="P412" s="15">
        <v>-1059.3611282032011</v>
      </c>
      <c r="Q412" s="15">
        <f t="shared" si="25"/>
        <v>-1059.3611282032011</v>
      </c>
      <c r="R412" s="15">
        <v>0</v>
      </c>
      <c r="S412" s="15">
        <f t="shared" si="26"/>
        <v>-1059.3611282032011</v>
      </c>
      <c r="T412" s="16"/>
      <c r="U412" s="26"/>
    </row>
    <row r="413" spans="1:21" x14ac:dyDescent="0.25">
      <c r="A413" s="16" t="s">
        <v>37</v>
      </c>
      <c r="B413" s="16" t="s">
        <v>269</v>
      </c>
      <c r="C413" s="16" t="s">
        <v>270</v>
      </c>
      <c r="D413" s="16" t="s">
        <v>100</v>
      </c>
      <c r="E413" s="16" t="s">
        <v>101</v>
      </c>
      <c r="F413" s="16" t="s">
        <v>178</v>
      </c>
      <c r="G413" s="16" t="s">
        <v>179</v>
      </c>
      <c r="H413" s="16" t="s">
        <v>85</v>
      </c>
      <c r="I413" s="16" t="s">
        <v>40</v>
      </c>
      <c r="J413" s="16" t="s">
        <v>132</v>
      </c>
      <c r="K413" s="16" t="s">
        <v>133</v>
      </c>
      <c r="L413" s="15">
        <v>-34394.586355428575</v>
      </c>
      <c r="M413" s="15">
        <v>-34394.586355428575</v>
      </c>
      <c r="N413" s="15">
        <v>-34394.579993727326</v>
      </c>
      <c r="O413" s="15">
        <v>-6.3617012474423973E-3</v>
      </c>
      <c r="P413" s="15">
        <v>0</v>
      </c>
      <c r="Q413" s="15">
        <f t="shared" si="25"/>
        <v>0</v>
      </c>
      <c r="R413" s="15">
        <v>0</v>
      </c>
      <c r="S413" s="15">
        <f t="shared" si="26"/>
        <v>0</v>
      </c>
      <c r="T413" s="16"/>
      <c r="U413" s="16"/>
    </row>
    <row r="414" spans="1:21" x14ac:dyDescent="0.25">
      <c r="A414" s="16" t="s">
        <v>37</v>
      </c>
      <c r="B414" s="16" t="s">
        <v>257</v>
      </c>
      <c r="C414" s="16" t="s">
        <v>258</v>
      </c>
      <c r="D414" s="16" t="s">
        <v>100</v>
      </c>
      <c r="E414" s="16" t="s">
        <v>101</v>
      </c>
      <c r="F414" s="16" t="s">
        <v>178</v>
      </c>
      <c r="G414" s="16" t="s">
        <v>179</v>
      </c>
      <c r="H414" s="16" t="s">
        <v>85</v>
      </c>
      <c r="I414" s="16" t="s">
        <v>40</v>
      </c>
      <c r="J414" s="16" t="s">
        <v>302</v>
      </c>
      <c r="K414" s="16" t="s">
        <v>303</v>
      </c>
      <c r="L414" s="15">
        <v>-3389.8305042372876</v>
      </c>
      <c r="M414" s="15">
        <v>0</v>
      </c>
      <c r="N414" s="15">
        <v>-1610.0000000000002</v>
      </c>
      <c r="O414" s="15">
        <v>-1779.8305042372876</v>
      </c>
      <c r="P414" s="15">
        <v>-1779.8305042372876</v>
      </c>
      <c r="Q414" s="15">
        <v>0</v>
      </c>
      <c r="R414" s="15">
        <v>0</v>
      </c>
      <c r="S414" s="15">
        <f t="shared" si="26"/>
        <v>0</v>
      </c>
      <c r="T414" s="16"/>
      <c r="U414" s="26"/>
    </row>
    <row r="415" spans="1:21" x14ac:dyDescent="0.25">
      <c r="A415" s="16" t="s">
        <v>37</v>
      </c>
      <c r="B415" s="16" t="s">
        <v>269</v>
      </c>
      <c r="C415" s="16" t="s">
        <v>270</v>
      </c>
      <c r="D415" s="16" t="s">
        <v>100</v>
      </c>
      <c r="E415" s="16" t="s">
        <v>101</v>
      </c>
      <c r="F415" s="16" t="s">
        <v>178</v>
      </c>
      <c r="G415" s="16" t="s">
        <v>179</v>
      </c>
      <c r="H415" s="16" t="s">
        <v>85</v>
      </c>
      <c r="I415" s="16" t="s">
        <v>40</v>
      </c>
      <c r="J415" s="16" t="s">
        <v>64</v>
      </c>
      <c r="K415" s="16" t="s">
        <v>65</v>
      </c>
      <c r="L415" s="15">
        <v>-110422.1152965644</v>
      </c>
      <c r="M415" s="15">
        <v>0</v>
      </c>
      <c r="N415" s="15">
        <v>-105922.11983215594</v>
      </c>
      <c r="O415" s="15">
        <v>-4499.9954644084819</v>
      </c>
      <c r="P415" s="15">
        <v>-4499.9954644084819</v>
      </c>
      <c r="Q415" s="15">
        <f t="shared" si="25"/>
        <v>-4499.9954644084819</v>
      </c>
      <c r="R415" s="15">
        <v>0</v>
      </c>
      <c r="S415" s="15">
        <f t="shared" si="26"/>
        <v>-4499.9954644084819</v>
      </c>
      <c r="T415" s="16"/>
      <c r="U415" s="16"/>
    </row>
    <row r="416" spans="1:21" x14ac:dyDescent="0.25">
      <c r="A416" s="16" t="s">
        <v>37</v>
      </c>
      <c r="B416" s="16" t="s">
        <v>269</v>
      </c>
      <c r="C416" s="16" t="s">
        <v>270</v>
      </c>
      <c r="D416" s="16" t="s">
        <v>100</v>
      </c>
      <c r="E416" s="16" t="s">
        <v>101</v>
      </c>
      <c r="F416" s="16" t="s">
        <v>178</v>
      </c>
      <c r="G416" s="16" t="s">
        <v>179</v>
      </c>
      <c r="H416" s="16" t="s">
        <v>85</v>
      </c>
      <c r="I416" s="16" t="s">
        <v>40</v>
      </c>
      <c r="J416" s="16" t="s">
        <v>66</v>
      </c>
      <c r="K416" s="16" t="s">
        <v>63</v>
      </c>
      <c r="L416" s="15">
        <v>-118635.98061687261</v>
      </c>
      <c r="M416" s="15">
        <v>-118635.98061687261</v>
      </c>
      <c r="N416" s="15">
        <v>-118635.98989940737</v>
      </c>
      <c r="O416" s="15">
        <v>9.2825347774123657E-3</v>
      </c>
      <c r="P416" s="15">
        <v>0</v>
      </c>
      <c r="Q416" s="15">
        <f t="shared" si="25"/>
        <v>0</v>
      </c>
      <c r="R416" s="15">
        <v>0</v>
      </c>
      <c r="S416" s="15">
        <f t="shared" si="26"/>
        <v>0</v>
      </c>
      <c r="T416" s="16"/>
      <c r="U416" s="16"/>
    </row>
    <row r="417" spans="1:21" x14ac:dyDescent="0.25">
      <c r="A417" s="16" t="s">
        <v>37</v>
      </c>
      <c r="B417" s="16" t="s">
        <v>269</v>
      </c>
      <c r="C417" s="16" t="s">
        <v>270</v>
      </c>
      <c r="D417" s="16" t="s">
        <v>100</v>
      </c>
      <c r="E417" s="16" t="s">
        <v>101</v>
      </c>
      <c r="F417" s="16" t="s">
        <v>178</v>
      </c>
      <c r="G417" s="16" t="s">
        <v>179</v>
      </c>
      <c r="H417" s="16" t="s">
        <v>85</v>
      </c>
      <c r="I417" s="16" t="s">
        <v>40</v>
      </c>
      <c r="J417" s="16" t="s">
        <v>67</v>
      </c>
      <c r="K417" s="16" t="s">
        <v>68</v>
      </c>
      <c r="L417" s="15">
        <v>-23220</v>
      </c>
      <c r="M417" s="15">
        <v>0</v>
      </c>
      <c r="N417" s="15">
        <v>0</v>
      </c>
      <c r="O417" s="15">
        <v>-23220</v>
      </c>
      <c r="P417" s="15">
        <v>-23220</v>
      </c>
      <c r="Q417" s="15">
        <f t="shared" si="25"/>
        <v>-23220</v>
      </c>
      <c r="R417" s="15">
        <v>0</v>
      </c>
      <c r="S417" s="15">
        <f t="shared" si="26"/>
        <v>-23220</v>
      </c>
      <c r="T417" s="16"/>
      <c r="U417" s="16"/>
    </row>
    <row r="418" spans="1:21" x14ac:dyDescent="0.25">
      <c r="A418" s="16" t="s">
        <v>37</v>
      </c>
      <c r="B418" s="16" t="s">
        <v>257</v>
      </c>
      <c r="C418" s="16" t="s">
        <v>258</v>
      </c>
      <c r="D418" s="16" t="s">
        <v>100</v>
      </c>
      <c r="E418" s="16" t="s">
        <v>101</v>
      </c>
      <c r="F418" s="16" t="s">
        <v>178</v>
      </c>
      <c r="G418" s="16" t="s">
        <v>179</v>
      </c>
      <c r="H418" s="16" t="s">
        <v>85</v>
      </c>
      <c r="I418" s="16" t="s">
        <v>40</v>
      </c>
      <c r="J418" s="16" t="s">
        <v>67</v>
      </c>
      <c r="K418" s="16" t="s">
        <v>68</v>
      </c>
      <c r="L418" s="15">
        <v>-1780</v>
      </c>
      <c r="M418" s="15">
        <v>0</v>
      </c>
      <c r="N418" s="15">
        <v>0</v>
      </c>
      <c r="O418" s="15">
        <v>-1780</v>
      </c>
      <c r="P418" s="15">
        <v>-1780</v>
      </c>
      <c r="Q418" s="15">
        <f t="shared" si="25"/>
        <v>-1780</v>
      </c>
      <c r="R418" s="15">
        <v>0</v>
      </c>
      <c r="S418" s="15">
        <f t="shared" si="26"/>
        <v>-1780</v>
      </c>
      <c r="T418" s="16"/>
      <c r="U418" s="26"/>
    </row>
    <row r="419" spans="1:21" x14ac:dyDescent="0.25">
      <c r="A419" s="16" t="s">
        <v>37</v>
      </c>
      <c r="B419" s="16" t="s">
        <v>269</v>
      </c>
      <c r="C419" s="16" t="s">
        <v>270</v>
      </c>
      <c r="D419" s="16" t="s">
        <v>100</v>
      </c>
      <c r="E419" s="16" t="s">
        <v>101</v>
      </c>
      <c r="F419" s="16" t="s">
        <v>178</v>
      </c>
      <c r="G419" s="16" t="s">
        <v>179</v>
      </c>
      <c r="H419" s="16" t="s">
        <v>85</v>
      </c>
      <c r="I419" s="16" t="s">
        <v>40</v>
      </c>
      <c r="J419" s="16" t="s">
        <v>69</v>
      </c>
      <c r="K419" s="16" t="s">
        <v>70</v>
      </c>
      <c r="L419" s="15">
        <v>-4231.8467089546812</v>
      </c>
      <c r="M419" s="15">
        <v>-4231.8467089546812</v>
      </c>
      <c r="N419" s="15">
        <v>-4231.8499924907192</v>
      </c>
      <c r="O419" s="15">
        <v>3.2835360375429445E-3</v>
      </c>
      <c r="P419" s="15">
        <v>0</v>
      </c>
      <c r="Q419" s="15">
        <f t="shared" si="25"/>
        <v>0</v>
      </c>
      <c r="R419" s="15">
        <v>0</v>
      </c>
      <c r="S419" s="15">
        <f t="shared" si="26"/>
        <v>0</v>
      </c>
      <c r="T419" s="16"/>
      <c r="U419" s="15">
        <f t="shared" ref="U419:U421" si="28">O419</f>
        <v>3.2835360375429445E-3</v>
      </c>
    </row>
    <row r="420" spans="1:21" x14ac:dyDescent="0.25">
      <c r="A420" s="16" t="s">
        <v>37</v>
      </c>
      <c r="B420" s="16" t="s">
        <v>261</v>
      </c>
      <c r="C420" s="16" t="s">
        <v>262</v>
      </c>
      <c r="D420" s="16" t="s">
        <v>100</v>
      </c>
      <c r="E420" s="16" t="s">
        <v>101</v>
      </c>
      <c r="F420" s="16" t="s">
        <v>178</v>
      </c>
      <c r="G420" s="16" t="s">
        <v>179</v>
      </c>
      <c r="H420" s="16" t="s">
        <v>85</v>
      </c>
      <c r="I420" s="16" t="s">
        <v>40</v>
      </c>
      <c r="J420" s="16" t="s">
        <v>69</v>
      </c>
      <c r="K420" s="16" t="s">
        <v>70</v>
      </c>
      <c r="L420" s="15">
        <v>-4429.2199990529998</v>
      </c>
      <c r="M420" s="15">
        <v>-4429.22</v>
      </c>
      <c r="N420" s="15">
        <v>-5509.6238000000003</v>
      </c>
      <c r="O420" s="15">
        <v>1080.403800947</v>
      </c>
      <c r="P420" s="15">
        <v>0</v>
      </c>
      <c r="Q420" s="15">
        <f t="shared" si="25"/>
        <v>0</v>
      </c>
      <c r="R420" s="15">
        <v>0</v>
      </c>
      <c r="S420" s="15">
        <f t="shared" si="26"/>
        <v>0</v>
      </c>
      <c r="T420" s="16"/>
      <c r="U420" s="15">
        <f t="shared" si="28"/>
        <v>1080.403800947</v>
      </c>
    </row>
    <row r="421" spans="1:21" x14ac:dyDescent="0.25">
      <c r="A421" s="16" t="s">
        <v>37</v>
      </c>
      <c r="B421" s="16" t="s">
        <v>257</v>
      </c>
      <c r="C421" s="16" t="s">
        <v>258</v>
      </c>
      <c r="D421" s="16" t="s">
        <v>100</v>
      </c>
      <c r="E421" s="16" t="s">
        <v>101</v>
      </c>
      <c r="F421" s="16" t="s">
        <v>178</v>
      </c>
      <c r="G421" s="16" t="s">
        <v>179</v>
      </c>
      <c r="H421" s="16" t="s">
        <v>85</v>
      </c>
      <c r="I421" s="16" t="s">
        <v>40</v>
      </c>
      <c r="J421" s="16" t="s">
        <v>69</v>
      </c>
      <c r="K421" s="16" t="s">
        <v>70</v>
      </c>
      <c r="L421" s="15">
        <v>-1185.1687260000001</v>
      </c>
      <c r="M421" s="15">
        <v>-1185.1687260000001</v>
      </c>
      <c r="N421" s="15">
        <v>-1170.1693042200002</v>
      </c>
      <c r="O421" s="15">
        <v>-14.999421779999807</v>
      </c>
      <c r="P421" s="15">
        <v>0</v>
      </c>
      <c r="Q421" s="15">
        <f t="shared" si="25"/>
        <v>0</v>
      </c>
      <c r="R421" s="15">
        <v>0</v>
      </c>
      <c r="S421" s="15">
        <f t="shared" si="26"/>
        <v>0</v>
      </c>
      <c r="T421" s="16"/>
      <c r="U421" s="15">
        <f t="shared" si="28"/>
        <v>-14.999421779999807</v>
      </c>
    </row>
    <row r="422" spans="1:21" x14ac:dyDescent="0.25">
      <c r="A422" s="16" t="s">
        <v>37</v>
      </c>
      <c r="B422" s="16" t="s">
        <v>257</v>
      </c>
      <c r="C422" s="16" t="s">
        <v>258</v>
      </c>
      <c r="D422" s="16" t="s">
        <v>100</v>
      </c>
      <c r="E422" s="16" t="s">
        <v>101</v>
      </c>
      <c r="F422" s="16" t="s">
        <v>178</v>
      </c>
      <c r="G422" s="16" t="s">
        <v>179</v>
      </c>
      <c r="H422" s="16" t="s">
        <v>85</v>
      </c>
      <c r="I422" s="16" t="s">
        <v>40</v>
      </c>
      <c r="J422" s="16" t="s">
        <v>136</v>
      </c>
      <c r="K422" s="16" t="s">
        <v>137</v>
      </c>
      <c r="L422" s="15">
        <v>-30212.600000000024</v>
      </c>
      <c r="M422" s="15">
        <v>0</v>
      </c>
      <c r="N422" s="15">
        <v>-30212.6</v>
      </c>
      <c r="O422" s="15">
        <v>-2.5465851649641991E-11</v>
      </c>
      <c r="P422" s="15">
        <v>-2.5465851649641991E-11</v>
      </c>
      <c r="Q422" s="15">
        <f t="shared" si="25"/>
        <v>-2.5465851649641991E-11</v>
      </c>
      <c r="R422" s="15">
        <v>0</v>
      </c>
      <c r="S422" s="15">
        <f t="shared" si="26"/>
        <v>-2.5465851649641991E-11</v>
      </c>
      <c r="T422" s="16"/>
      <c r="U422" s="26"/>
    </row>
    <row r="423" spans="1:21" x14ac:dyDescent="0.25">
      <c r="A423" s="16" t="s">
        <v>37</v>
      </c>
      <c r="B423" s="16" t="s">
        <v>265</v>
      </c>
      <c r="C423" s="16" t="s">
        <v>266</v>
      </c>
      <c r="D423" s="16" t="s">
        <v>100</v>
      </c>
      <c r="E423" s="16" t="s">
        <v>101</v>
      </c>
      <c r="F423" s="16" t="s">
        <v>178</v>
      </c>
      <c r="G423" s="16" t="s">
        <v>179</v>
      </c>
      <c r="H423" s="16" t="s">
        <v>85</v>
      </c>
      <c r="I423" s="16" t="s">
        <v>40</v>
      </c>
      <c r="J423" s="16" t="s">
        <v>138</v>
      </c>
      <c r="K423" s="16" t="s">
        <v>139</v>
      </c>
      <c r="L423" s="15">
        <v>-594.4288081647685</v>
      </c>
      <c r="M423" s="15">
        <v>0</v>
      </c>
      <c r="N423" s="15">
        <v>-594.4288081647685</v>
      </c>
      <c r="O423" s="15">
        <v>0</v>
      </c>
      <c r="P423" s="15">
        <v>0</v>
      </c>
      <c r="Q423" s="15">
        <f t="shared" si="25"/>
        <v>0</v>
      </c>
      <c r="R423" s="15">
        <v>0</v>
      </c>
      <c r="S423" s="15">
        <f t="shared" si="26"/>
        <v>0</v>
      </c>
      <c r="T423" s="16"/>
      <c r="U423" s="16"/>
    </row>
    <row r="424" spans="1:21" x14ac:dyDescent="0.25">
      <c r="A424" s="28" t="s">
        <v>37</v>
      </c>
      <c r="B424" s="28" t="s">
        <v>269</v>
      </c>
      <c r="C424" s="28" t="s">
        <v>270</v>
      </c>
      <c r="D424" s="28" t="s">
        <v>180</v>
      </c>
      <c r="E424" s="28" t="s">
        <v>181</v>
      </c>
      <c r="F424" s="28" t="s">
        <v>182</v>
      </c>
      <c r="G424" s="28" t="s">
        <v>183</v>
      </c>
      <c r="H424" s="28" t="s">
        <v>85</v>
      </c>
      <c r="I424" s="28" t="s">
        <v>40</v>
      </c>
      <c r="J424" s="28" t="s">
        <v>38</v>
      </c>
      <c r="K424" s="28" t="s">
        <v>293</v>
      </c>
      <c r="L424" s="29">
        <v>-409104.99226732529</v>
      </c>
      <c r="M424" s="29">
        <v>-5218.3515818474552</v>
      </c>
      <c r="N424" s="29">
        <v>-478403.36237605516</v>
      </c>
      <c r="O424" s="29">
        <v>69298.370108729927</v>
      </c>
      <c r="P424" s="29">
        <f>O424</f>
        <v>69298.370108729927</v>
      </c>
      <c r="Q424" s="29">
        <f>P424-R424-69298</f>
        <v>0.37010872992686927</v>
      </c>
      <c r="R424" s="15">
        <v>0</v>
      </c>
      <c r="S424" s="15">
        <f t="shared" si="26"/>
        <v>0.37010872992686927</v>
      </c>
      <c r="T424" s="16"/>
      <c r="U424" s="16"/>
    </row>
    <row r="425" spans="1:21" x14ac:dyDescent="0.25">
      <c r="A425" s="16" t="s">
        <v>37</v>
      </c>
      <c r="B425" s="16" t="s">
        <v>265</v>
      </c>
      <c r="C425" s="16" t="s">
        <v>266</v>
      </c>
      <c r="D425" s="16" t="s">
        <v>180</v>
      </c>
      <c r="E425" s="16" t="s">
        <v>181</v>
      </c>
      <c r="F425" s="16" t="s">
        <v>182</v>
      </c>
      <c r="G425" s="16" t="s">
        <v>183</v>
      </c>
      <c r="H425" s="16" t="s">
        <v>85</v>
      </c>
      <c r="I425" s="16" t="s">
        <v>40</v>
      </c>
      <c r="J425" s="16" t="s">
        <v>38</v>
      </c>
      <c r="K425" s="16" t="s">
        <v>293</v>
      </c>
      <c r="L425" s="15">
        <v>-2964676.2584849261</v>
      </c>
      <c r="M425" s="15">
        <v>-279774.115797284</v>
      </c>
      <c r="N425" s="15">
        <v>-2549806.2654938046</v>
      </c>
      <c r="O425" s="15">
        <v>-414869.99299112149</v>
      </c>
      <c r="P425" s="15">
        <v>-414869.99299112149</v>
      </c>
      <c r="Q425" s="15">
        <f t="shared" si="25"/>
        <v>-414869.99299112149</v>
      </c>
      <c r="R425" s="15">
        <v>0</v>
      </c>
      <c r="S425" s="15">
        <f t="shared" si="26"/>
        <v>-414869.99299112149</v>
      </c>
      <c r="T425" s="16"/>
      <c r="U425" s="16"/>
    </row>
    <row r="426" spans="1:21" x14ac:dyDescent="0.25">
      <c r="A426" s="16" t="s">
        <v>37</v>
      </c>
      <c r="B426" s="16" t="s">
        <v>257</v>
      </c>
      <c r="C426" s="16" t="s">
        <v>258</v>
      </c>
      <c r="D426" s="16" t="s">
        <v>180</v>
      </c>
      <c r="E426" s="16" t="s">
        <v>181</v>
      </c>
      <c r="F426" s="16" t="s">
        <v>182</v>
      </c>
      <c r="G426" s="16" t="s">
        <v>183</v>
      </c>
      <c r="H426" s="16" t="s">
        <v>85</v>
      </c>
      <c r="I426" s="16" t="s">
        <v>40</v>
      </c>
      <c r="J426" s="16" t="s">
        <v>38</v>
      </c>
      <c r="K426" s="16" t="s">
        <v>293</v>
      </c>
      <c r="L426" s="15">
        <v>-1612131.6021793485</v>
      </c>
      <c r="M426" s="15">
        <v>-502553.96040019568</v>
      </c>
      <c r="N426" s="15">
        <v>-1108164.77018416</v>
      </c>
      <c r="O426" s="15">
        <v>-503966.8319951882</v>
      </c>
      <c r="P426" s="15">
        <v>-503966.8319951882</v>
      </c>
      <c r="Q426" s="15">
        <f>P426-R426+P424</f>
        <v>-434668.46188645827</v>
      </c>
      <c r="R426" s="15">
        <v>0</v>
      </c>
      <c r="S426" s="15">
        <f t="shared" si="26"/>
        <v>-434668.46188645827</v>
      </c>
      <c r="T426" s="16"/>
      <c r="U426" s="26"/>
    </row>
    <row r="427" spans="1:21" x14ac:dyDescent="0.25">
      <c r="A427" s="16" t="s">
        <v>37</v>
      </c>
      <c r="B427" s="16" t="s">
        <v>257</v>
      </c>
      <c r="C427" s="16" t="s">
        <v>258</v>
      </c>
      <c r="D427" s="16" t="s">
        <v>180</v>
      </c>
      <c r="E427" s="16" t="s">
        <v>181</v>
      </c>
      <c r="F427" s="16" t="s">
        <v>182</v>
      </c>
      <c r="G427" s="16" t="s">
        <v>183</v>
      </c>
      <c r="H427" s="16" t="s">
        <v>85</v>
      </c>
      <c r="I427" s="16" t="s">
        <v>40</v>
      </c>
      <c r="J427" s="16" t="s">
        <v>142</v>
      </c>
      <c r="K427" s="16" t="s">
        <v>143</v>
      </c>
      <c r="L427" s="15">
        <v>-7361.34</v>
      </c>
      <c r="M427" s="15">
        <v>0</v>
      </c>
      <c r="N427" s="15">
        <v>0</v>
      </c>
      <c r="O427" s="15">
        <v>-7361.34</v>
      </c>
      <c r="P427" s="15">
        <v>-7361.34</v>
      </c>
      <c r="Q427" s="15">
        <f t="shared" si="25"/>
        <v>-7361.34</v>
      </c>
      <c r="R427" s="15">
        <v>0</v>
      </c>
      <c r="S427" s="15">
        <f t="shared" si="26"/>
        <v>-7361.34</v>
      </c>
      <c r="T427" s="16"/>
      <c r="U427" s="26"/>
    </row>
    <row r="428" spans="1:21" x14ac:dyDescent="0.25">
      <c r="A428" s="16" t="s">
        <v>37</v>
      </c>
      <c r="B428" s="16" t="s">
        <v>257</v>
      </c>
      <c r="C428" s="16" t="s">
        <v>258</v>
      </c>
      <c r="D428" s="16" t="s">
        <v>180</v>
      </c>
      <c r="E428" s="16" t="s">
        <v>181</v>
      </c>
      <c r="F428" s="16" t="s">
        <v>182</v>
      </c>
      <c r="G428" s="16" t="s">
        <v>183</v>
      </c>
      <c r="H428" s="16" t="s">
        <v>85</v>
      </c>
      <c r="I428" s="16" t="s">
        <v>40</v>
      </c>
      <c r="J428" s="16" t="s">
        <v>296</v>
      </c>
      <c r="K428" s="16" t="s">
        <v>297</v>
      </c>
      <c r="L428" s="15">
        <v>-66756.619997514601</v>
      </c>
      <c r="M428" s="15">
        <v>-379.29421589999993</v>
      </c>
      <c r="N428" s="15">
        <v>-66756.378471999982</v>
      </c>
      <c r="O428" s="15">
        <v>-0.2415255146115669</v>
      </c>
      <c r="P428" s="15">
        <v>-0.2415255146115669</v>
      </c>
      <c r="Q428" s="15">
        <f t="shared" si="25"/>
        <v>-0.2415255146115669</v>
      </c>
      <c r="R428" s="15">
        <v>0</v>
      </c>
      <c r="S428" s="15">
        <f t="shared" si="26"/>
        <v>-0.2415255146115669</v>
      </c>
      <c r="T428" s="16"/>
      <c r="U428" s="26"/>
    </row>
    <row r="429" spans="1:21" x14ac:dyDescent="0.25">
      <c r="A429" s="16" t="s">
        <v>37</v>
      </c>
      <c r="B429" s="16" t="s">
        <v>269</v>
      </c>
      <c r="C429" s="16" t="s">
        <v>270</v>
      </c>
      <c r="D429" s="16" t="s">
        <v>180</v>
      </c>
      <c r="E429" s="16" t="s">
        <v>181</v>
      </c>
      <c r="F429" s="16" t="s">
        <v>182</v>
      </c>
      <c r="G429" s="16" t="s">
        <v>183</v>
      </c>
      <c r="H429" s="16" t="s">
        <v>85</v>
      </c>
      <c r="I429" s="16" t="s">
        <v>40</v>
      </c>
      <c r="J429" s="16" t="s">
        <v>124</v>
      </c>
      <c r="K429" s="16" t="s">
        <v>125</v>
      </c>
      <c r="L429" s="15">
        <v>-1097.5590422558548</v>
      </c>
      <c r="M429" s="15">
        <v>0</v>
      </c>
      <c r="N429" s="15">
        <v>-777.61999999999932</v>
      </c>
      <c r="O429" s="15">
        <v>-319.93904225585516</v>
      </c>
      <c r="P429" s="15">
        <v>0</v>
      </c>
      <c r="Q429" s="15">
        <f t="shared" si="25"/>
        <v>0</v>
      </c>
      <c r="R429" s="15">
        <v>0</v>
      </c>
      <c r="S429" s="15">
        <f t="shared" si="26"/>
        <v>0</v>
      </c>
      <c r="T429" s="16"/>
      <c r="U429" s="16"/>
    </row>
    <row r="430" spans="1:21" x14ac:dyDescent="0.25">
      <c r="A430" s="16" t="s">
        <v>37</v>
      </c>
      <c r="B430" s="16" t="s">
        <v>265</v>
      </c>
      <c r="C430" s="16" t="s">
        <v>266</v>
      </c>
      <c r="D430" s="16" t="s">
        <v>180</v>
      </c>
      <c r="E430" s="16" t="s">
        <v>181</v>
      </c>
      <c r="F430" s="16" t="s">
        <v>182</v>
      </c>
      <c r="G430" s="16" t="s">
        <v>183</v>
      </c>
      <c r="H430" s="16" t="s">
        <v>85</v>
      </c>
      <c r="I430" s="16" t="s">
        <v>40</v>
      </c>
      <c r="J430" s="16" t="s">
        <v>124</v>
      </c>
      <c r="K430" s="16" t="s">
        <v>125</v>
      </c>
      <c r="L430" s="15">
        <v>-486286.47505055345</v>
      </c>
      <c r="M430" s="15">
        <v>0</v>
      </c>
      <c r="N430" s="15">
        <v>-420268.06213904358</v>
      </c>
      <c r="O430" s="15">
        <v>-66018.412911509848</v>
      </c>
      <c r="P430" s="15">
        <v>0</v>
      </c>
      <c r="Q430" s="15">
        <f t="shared" si="25"/>
        <v>0</v>
      </c>
      <c r="R430" s="15">
        <v>0</v>
      </c>
      <c r="S430" s="15">
        <f t="shared" si="26"/>
        <v>0</v>
      </c>
      <c r="T430" s="16"/>
      <c r="U430" s="16"/>
    </row>
    <row r="431" spans="1:21" x14ac:dyDescent="0.25">
      <c r="A431" s="16" t="s">
        <v>37</v>
      </c>
      <c r="B431" s="16" t="s">
        <v>257</v>
      </c>
      <c r="C431" s="16" t="s">
        <v>258</v>
      </c>
      <c r="D431" s="16" t="s">
        <v>180</v>
      </c>
      <c r="E431" s="16" t="s">
        <v>181</v>
      </c>
      <c r="F431" s="16" t="s">
        <v>182</v>
      </c>
      <c r="G431" s="16" t="s">
        <v>183</v>
      </c>
      <c r="H431" s="16" t="s">
        <v>85</v>
      </c>
      <c r="I431" s="16" t="s">
        <v>40</v>
      </c>
      <c r="J431" s="16" t="s">
        <v>124</v>
      </c>
      <c r="K431" s="16" t="s">
        <v>125</v>
      </c>
      <c r="L431" s="15">
        <v>-92.558799999999991</v>
      </c>
      <c r="M431" s="15">
        <v>0</v>
      </c>
      <c r="N431" s="15">
        <v>-33.955311999999999</v>
      </c>
      <c r="O431" s="15">
        <v>-58.603487999999977</v>
      </c>
      <c r="P431" s="15">
        <v>0</v>
      </c>
      <c r="Q431" s="15">
        <f t="shared" si="25"/>
        <v>0</v>
      </c>
      <c r="R431" s="15">
        <v>0</v>
      </c>
      <c r="S431" s="15">
        <f t="shared" si="26"/>
        <v>0</v>
      </c>
      <c r="T431" s="16"/>
      <c r="U431" s="26"/>
    </row>
    <row r="432" spans="1:21" x14ac:dyDescent="0.25">
      <c r="A432" s="16" t="s">
        <v>37</v>
      </c>
      <c r="B432" s="16" t="s">
        <v>257</v>
      </c>
      <c r="C432" s="16" t="s">
        <v>258</v>
      </c>
      <c r="D432" s="16" t="s">
        <v>180</v>
      </c>
      <c r="E432" s="16" t="s">
        <v>181</v>
      </c>
      <c r="F432" s="16" t="s">
        <v>182</v>
      </c>
      <c r="G432" s="16" t="s">
        <v>183</v>
      </c>
      <c r="H432" s="16" t="s">
        <v>85</v>
      </c>
      <c r="I432" s="16" t="s">
        <v>40</v>
      </c>
      <c r="J432" s="16" t="s">
        <v>298</v>
      </c>
      <c r="K432" s="16" t="s">
        <v>299</v>
      </c>
      <c r="L432" s="15">
        <v>-3268.2688810000013</v>
      </c>
      <c r="M432" s="15">
        <v>-261.28298100000012</v>
      </c>
      <c r="N432" s="15">
        <v>-2080.0486818017998</v>
      </c>
      <c r="O432" s="15">
        <v>-1188.220199198201</v>
      </c>
      <c r="P432" s="15">
        <v>-1188.220199198201</v>
      </c>
      <c r="Q432" s="15">
        <f t="shared" si="25"/>
        <v>-1188.220199198201</v>
      </c>
      <c r="R432" s="15">
        <v>0</v>
      </c>
      <c r="S432" s="15">
        <f t="shared" si="26"/>
        <v>-1188.220199198201</v>
      </c>
      <c r="T432" s="16"/>
      <c r="U432" s="26"/>
    </row>
    <row r="433" spans="1:21" x14ac:dyDescent="0.25">
      <c r="A433" s="16" t="s">
        <v>37</v>
      </c>
      <c r="B433" s="16" t="s">
        <v>269</v>
      </c>
      <c r="C433" s="16" t="s">
        <v>270</v>
      </c>
      <c r="D433" s="16" t="s">
        <v>180</v>
      </c>
      <c r="E433" s="16" t="s">
        <v>181</v>
      </c>
      <c r="F433" s="16" t="s">
        <v>182</v>
      </c>
      <c r="G433" s="16" t="s">
        <v>183</v>
      </c>
      <c r="H433" s="16" t="s">
        <v>85</v>
      </c>
      <c r="I433" s="16" t="s">
        <v>40</v>
      </c>
      <c r="J433" s="16" t="s">
        <v>132</v>
      </c>
      <c r="K433" s="16" t="s">
        <v>133</v>
      </c>
      <c r="L433" s="15">
        <v>-36835.881062103232</v>
      </c>
      <c r="M433" s="15">
        <v>-36835.881062103232</v>
      </c>
      <c r="N433" s="15">
        <v>-36835.909993282097</v>
      </c>
      <c r="O433" s="15">
        <v>2.8931178869243013E-2</v>
      </c>
      <c r="P433" s="15">
        <v>0</v>
      </c>
      <c r="Q433" s="15">
        <f t="shared" si="25"/>
        <v>0</v>
      </c>
      <c r="R433" s="15">
        <v>0</v>
      </c>
      <c r="S433" s="15">
        <f t="shared" si="26"/>
        <v>0</v>
      </c>
      <c r="T433" s="16"/>
      <c r="U433" s="16"/>
    </row>
    <row r="434" spans="1:21" x14ac:dyDescent="0.25">
      <c r="A434" s="16" t="s">
        <v>37</v>
      </c>
      <c r="B434" s="16" t="s">
        <v>269</v>
      </c>
      <c r="C434" s="16" t="s">
        <v>270</v>
      </c>
      <c r="D434" s="16" t="s">
        <v>180</v>
      </c>
      <c r="E434" s="16" t="s">
        <v>181</v>
      </c>
      <c r="F434" s="16" t="s">
        <v>182</v>
      </c>
      <c r="G434" s="16" t="s">
        <v>183</v>
      </c>
      <c r="H434" s="16" t="s">
        <v>85</v>
      </c>
      <c r="I434" s="16" t="s">
        <v>40</v>
      </c>
      <c r="J434" s="16" t="s">
        <v>64</v>
      </c>
      <c r="K434" s="16" t="s">
        <v>65</v>
      </c>
      <c r="L434" s="15">
        <v>-41659.999780171369</v>
      </c>
      <c r="M434" s="15">
        <v>0</v>
      </c>
      <c r="N434" s="15">
        <v>-36578.659942037499</v>
      </c>
      <c r="O434" s="15">
        <v>-5081.3398381338739</v>
      </c>
      <c r="P434" s="15">
        <v>-5081.3398381338739</v>
      </c>
      <c r="Q434" s="15">
        <f t="shared" si="25"/>
        <v>-5081.3398381338739</v>
      </c>
      <c r="R434" s="15">
        <v>0</v>
      </c>
      <c r="S434" s="15">
        <f t="shared" si="26"/>
        <v>-5081.3398381338739</v>
      </c>
      <c r="T434" s="16"/>
      <c r="U434" s="16"/>
    </row>
    <row r="435" spans="1:21" x14ac:dyDescent="0.25">
      <c r="A435" s="16" t="s">
        <v>37</v>
      </c>
      <c r="B435" s="16" t="s">
        <v>269</v>
      </c>
      <c r="C435" s="16" t="s">
        <v>270</v>
      </c>
      <c r="D435" s="16" t="s">
        <v>180</v>
      </c>
      <c r="E435" s="16" t="s">
        <v>181</v>
      </c>
      <c r="F435" s="16" t="s">
        <v>182</v>
      </c>
      <c r="G435" s="16" t="s">
        <v>183</v>
      </c>
      <c r="H435" s="16" t="s">
        <v>85</v>
      </c>
      <c r="I435" s="16" t="s">
        <v>40</v>
      </c>
      <c r="J435" s="16" t="s">
        <v>66</v>
      </c>
      <c r="K435" s="16" t="s">
        <v>63</v>
      </c>
      <c r="L435" s="15">
        <v>-18473.652144104763</v>
      </c>
      <c r="M435" s="15">
        <v>-18473.652144104763</v>
      </c>
      <c r="N435" s="15">
        <v>-18473.629984336028</v>
      </c>
      <c r="O435" s="15">
        <v>-2.2159768735491525E-2</v>
      </c>
      <c r="P435" s="15">
        <v>0</v>
      </c>
      <c r="Q435" s="15">
        <f t="shared" si="25"/>
        <v>0</v>
      </c>
      <c r="R435" s="15">
        <v>0</v>
      </c>
      <c r="S435" s="15">
        <f t="shared" si="26"/>
        <v>0</v>
      </c>
      <c r="T435" s="16"/>
      <c r="U435" s="16"/>
    </row>
    <row r="436" spans="1:21" x14ac:dyDescent="0.25">
      <c r="A436" s="16" t="s">
        <v>37</v>
      </c>
      <c r="B436" s="16" t="s">
        <v>257</v>
      </c>
      <c r="C436" s="16" t="s">
        <v>258</v>
      </c>
      <c r="D436" s="16" t="s">
        <v>180</v>
      </c>
      <c r="E436" s="16" t="s">
        <v>181</v>
      </c>
      <c r="F436" s="16" t="s">
        <v>182</v>
      </c>
      <c r="G436" s="16" t="s">
        <v>183</v>
      </c>
      <c r="H436" s="16" t="s">
        <v>85</v>
      </c>
      <c r="I436" s="16" t="s">
        <v>40</v>
      </c>
      <c r="J436" s="16" t="s">
        <v>67</v>
      </c>
      <c r="K436" s="16" t="s">
        <v>68</v>
      </c>
      <c r="L436" s="15">
        <v>-2980</v>
      </c>
      <c r="M436" s="15">
        <v>0</v>
      </c>
      <c r="N436" s="15">
        <v>0</v>
      </c>
      <c r="O436" s="15">
        <v>-2980</v>
      </c>
      <c r="P436" s="15">
        <v>-2980</v>
      </c>
      <c r="Q436" s="15">
        <f t="shared" si="25"/>
        <v>-2980</v>
      </c>
      <c r="R436" s="15">
        <v>0</v>
      </c>
      <c r="S436" s="15">
        <f t="shared" si="26"/>
        <v>-2980</v>
      </c>
      <c r="T436" s="16"/>
      <c r="U436" s="26"/>
    </row>
    <row r="437" spans="1:21" x14ac:dyDescent="0.25">
      <c r="A437" s="28" t="s">
        <v>37</v>
      </c>
      <c r="B437" s="28" t="s">
        <v>269</v>
      </c>
      <c r="C437" s="28" t="s">
        <v>270</v>
      </c>
      <c r="D437" s="28" t="s">
        <v>184</v>
      </c>
      <c r="E437" s="28" t="s">
        <v>185</v>
      </c>
      <c r="F437" s="28" t="s">
        <v>186</v>
      </c>
      <c r="G437" s="28" t="s">
        <v>187</v>
      </c>
      <c r="H437" s="28" t="s">
        <v>85</v>
      </c>
      <c r="I437" s="28" t="s">
        <v>40</v>
      </c>
      <c r="J437" s="28" t="s">
        <v>38</v>
      </c>
      <c r="K437" s="28" t="s">
        <v>293</v>
      </c>
      <c r="L437" s="29">
        <v>-137631.64946781055</v>
      </c>
      <c r="M437" s="29">
        <v>0</v>
      </c>
      <c r="N437" s="29">
        <v>-107957.45102098834</v>
      </c>
      <c r="O437" s="29">
        <v>-29674.198446822236</v>
      </c>
      <c r="P437" s="29">
        <v>-29674.198446822236</v>
      </c>
      <c r="Q437" s="30">
        <f>P437-R437+P461+P464+37821</f>
        <v>-0.19844682223629206</v>
      </c>
      <c r="R437" s="15">
        <v>0</v>
      </c>
      <c r="S437" s="15">
        <f t="shared" si="26"/>
        <v>-0.19844682223629206</v>
      </c>
      <c r="T437" s="16"/>
      <c r="U437" s="16"/>
    </row>
    <row r="438" spans="1:21" x14ac:dyDescent="0.25">
      <c r="A438" s="16" t="s">
        <v>37</v>
      </c>
      <c r="B438" s="16" t="s">
        <v>257</v>
      </c>
      <c r="C438" s="16" t="s">
        <v>258</v>
      </c>
      <c r="D438" s="16" t="s">
        <v>184</v>
      </c>
      <c r="E438" s="16" t="s">
        <v>185</v>
      </c>
      <c r="F438" s="16" t="s">
        <v>186</v>
      </c>
      <c r="G438" s="16" t="s">
        <v>187</v>
      </c>
      <c r="H438" s="16" t="s">
        <v>85</v>
      </c>
      <c r="I438" s="16" t="s">
        <v>40</v>
      </c>
      <c r="J438" s="16" t="s">
        <v>38</v>
      </c>
      <c r="K438" s="16" t="s">
        <v>293</v>
      </c>
      <c r="L438" s="15">
        <v>-1011587.4288536148</v>
      </c>
      <c r="M438" s="15">
        <v>-47041</v>
      </c>
      <c r="N438" s="15">
        <v>-1008375.1483766625</v>
      </c>
      <c r="O438" s="15">
        <v>-3212.2804769522045</v>
      </c>
      <c r="P438" s="15">
        <v>-3212.2804769522045</v>
      </c>
      <c r="Q438" s="20">
        <f>P438-R438+P462-37821</f>
        <v>-270897.49512940756</v>
      </c>
      <c r="R438" s="15">
        <v>0</v>
      </c>
      <c r="S438" s="15">
        <f t="shared" si="26"/>
        <v>-270897.49512940756</v>
      </c>
      <c r="T438" s="16"/>
      <c r="U438" s="26"/>
    </row>
    <row r="439" spans="1:21" x14ac:dyDescent="0.25">
      <c r="A439" s="16" t="s">
        <v>37</v>
      </c>
      <c r="B439" s="16" t="s">
        <v>257</v>
      </c>
      <c r="C439" s="16" t="s">
        <v>258</v>
      </c>
      <c r="D439" s="16" t="s">
        <v>184</v>
      </c>
      <c r="E439" s="16" t="s">
        <v>185</v>
      </c>
      <c r="F439" s="16" t="s">
        <v>186</v>
      </c>
      <c r="G439" s="16" t="s">
        <v>187</v>
      </c>
      <c r="H439" s="16" t="s">
        <v>85</v>
      </c>
      <c r="I439" s="16" t="s">
        <v>40</v>
      </c>
      <c r="J439" s="16" t="s">
        <v>298</v>
      </c>
      <c r="K439" s="16" t="s">
        <v>299</v>
      </c>
      <c r="L439" s="15">
        <v>-5708.9554064516124</v>
      </c>
      <c r="M439" s="15">
        <v>0</v>
      </c>
      <c r="N439" s="15">
        <v>-2239.2071376624008</v>
      </c>
      <c r="O439" s="15">
        <v>-3469.7482687892134</v>
      </c>
      <c r="P439" s="15">
        <v>-3469.7482687892134</v>
      </c>
      <c r="Q439" s="15">
        <f t="shared" si="25"/>
        <v>-3469.7482687892134</v>
      </c>
      <c r="R439" s="15">
        <v>0</v>
      </c>
      <c r="S439" s="15">
        <f t="shared" si="26"/>
        <v>-3469.7482687892134</v>
      </c>
      <c r="T439" s="16"/>
      <c r="U439" s="26"/>
    </row>
    <row r="440" spans="1:21" x14ac:dyDescent="0.25">
      <c r="A440" s="16" t="s">
        <v>37</v>
      </c>
      <c r="B440" s="16" t="s">
        <v>269</v>
      </c>
      <c r="C440" s="16" t="s">
        <v>270</v>
      </c>
      <c r="D440" s="16" t="s">
        <v>184</v>
      </c>
      <c r="E440" s="16" t="s">
        <v>185</v>
      </c>
      <c r="F440" s="16" t="s">
        <v>186</v>
      </c>
      <c r="G440" s="16" t="s">
        <v>187</v>
      </c>
      <c r="H440" s="16" t="s">
        <v>85</v>
      </c>
      <c r="I440" s="16" t="s">
        <v>40</v>
      </c>
      <c r="J440" s="16" t="s">
        <v>62</v>
      </c>
      <c r="K440" s="16" t="s">
        <v>63</v>
      </c>
      <c r="L440" s="15">
        <v>-6723.99</v>
      </c>
      <c r="M440" s="15">
        <v>-6723.99</v>
      </c>
      <c r="N440" s="15">
        <v>-6723.9899909000005</v>
      </c>
      <c r="O440" s="15">
        <v>-9.099999260797631E-6</v>
      </c>
      <c r="P440" s="15">
        <v>0</v>
      </c>
      <c r="Q440" s="15">
        <f t="shared" si="25"/>
        <v>0</v>
      </c>
      <c r="R440" s="15">
        <v>0</v>
      </c>
      <c r="S440" s="15">
        <f t="shared" si="26"/>
        <v>0</v>
      </c>
      <c r="T440" s="16"/>
      <c r="U440" s="16"/>
    </row>
    <row r="441" spans="1:21" x14ac:dyDescent="0.25">
      <c r="A441" s="28" t="s">
        <v>37</v>
      </c>
      <c r="B441" s="28" t="s">
        <v>269</v>
      </c>
      <c r="C441" s="28" t="s">
        <v>270</v>
      </c>
      <c r="D441" s="28" t="s">
        <v>184</v>
      </c>
      <c r="E441" s="28" t="s">
        <v>185</v>
      </c>
      <c r="F441" s="28" t="s">
        <v>188</v>
      </c>
      <c r="G441" s="28" t="s">
        <v>189</v>
      </c>
      <c r="H441" s="28" t="s">
        <v>85</v>
      </c>
      <c r="I441" s="28" t="s">
        <v>40</v>
      </c>
      <c r="J441" s="28" t="s">
        <v>38</v>
      </c>
      <c r="K441" s="28" t="s">
        <v>293</v>
      </c>
      <c r="L441" s="29">
        <v>-90794.552764638051</v>
      </c>
      <c r="M441" s="29">
        <v>0</v>
      </c>
      <c r="N441" s="29">
        <v>-16325.78604864061</v>
      </c>
      <c r="O441" s="29">
        <v>-74468.766715997452</v>
      </c>
      <c r="P441" s="29">
        <v>-74468.766715997452</v>
      </c>
      <c r="Q441" s="29">
        <f>P441-R441+74469</f>
        <v>0.23328400254831649</v>
      </c>
      <c r="R441" s="15">
        <v>0</v>
      </c>
      <c r="S441" s="15">
        <f t="shared" si="26"/>
        <v>0.23328400254831649</v>
      </c>
      <c r="T441" s="16"/>
      <c r="U441" s="16"/>
    </row>
    <row r="442" spans="1:21" x14ac:dyDescent="0.25">
      <c r="A442" s="16" t="s">
        <v>37</v>
      </c>
      <c r="B442" s="16" t="s">
        <v>257</v>
      </c>
      <c r="C442" s="16" t="s">
        <v>258</v>
      </c>
      <c r="D442" s="16" t="s">
        <v>184</v>
      </c>
      <c r="E442" s="16" t="s">
        <v>185</v>
      </c>
      <c r="F442" s="16" t="s">
        <v>188</v>
      </c>
      <c r="G442" s="16" t="s">
        <v>189</v>
      </c>
      <c r="H442" s="16" t="s">
        <v>85</v>
      </c>
      <c r="I442" s="16" t="s">
        <v>40</v>
      </c>
      <c r="J442" s="16" t="s">
        <v>38</v>
      </c>
      <c r="K442" s="16" t="s">
        <v>293</v>
      </c>
      <c r="L442" s="15">
        <v>-689042.13293812866</v>
      </c>
      <c r="M442" s="15">
        <v>-142364.8799</v>
      </c>
      <c r="N442" s="15">
        <v>-213139.22097096517</v>
      </c>
      <c r="O442" s="15">
        <v>-475902.91196716361</v>
      </c>
      <c r="P442" s="15">
        <v>-475902.91196716361</v>
      </c>
      <c r="Q442" s="15">
        <f>P442-R442+P441</f>
        <v>-550371.67868316104</v>
      </c>
      <c r="R442" s="15">
        <v>0</v>
      </c>
      <c r="S442" s="15">
        <f t="shared" si="26"/>
        <v>-550371.67868316104</v>
      </c>
      <c r="T442" s="16"/>
      <c r="U442" s="26"/>
    </row>
    <row r="443" spans="1:21" x14ac:dyDescent="0.25">
      <c r="A443" s="16" t="s">
        <v>37</v>
      </c>
      <c r="B443" s="16" t="s">
        <v>257</v>
      </c>
      <c r="C443" s="16" t="s">
        <v>258</v>
      </c>
      <c r="D443" s="16" t="s">
        <v>184</v>
      </c>
      <c r="E443" s="16" t="s">
        <v>185</v>
      </c>
      <c r="F443" s="16" t="s">
        <v>188</v>
      </c>
      <c r="G443" s="16" t="s">
        <v>189</v>
      </c>
      <c r="H443" s="16" t="s">
        <v>85</v>
      </c>
      <c r="I443" s="16" t="s">
        <v>40</v>
      </c>
      <c r="J443" s="16" t="s">
        <v>298</v>
      </c>
      <c r="K443" s="16" t="s">
        <v>299</v>
      </c>
      <c r="L443" s="15">
        <v>-2272.6916129032261</v>
      </c>
      <c r="M443" s="15">
        <v>0</v>
      </c>
      <c r="N443" s="15">
        <v>-893.49612153039993</v>
      </c>
      <c r="O443" s="15">
        <v>-1379.1954913728255</v>
      </c>
      <c r="P443" s="15">
        <v>-1379.1954913728255</v>
      </c>
      <c r="Q443" s="15">
        <f t="shared" si="25"/>
        <v>-1379.1954913728255</v>
      </c>
      <c r="R443" s="15">
        <v>0</v>
      </c>
      <c r="S443" s="15">
        <f t="shared" si="26"/>
        <v>-1379.1954913728255</v>
      </c>
      <c r="T443" s="16"/>
      <c r="U443" s="26"/>
    </row>
    <row r="444" spans="1:21" x14ac:dyDescent="0.25">
      <c r="A444" s="16" t="s">
        <v>37</v>
      </c>
      <c r="B444" s="16" t="s">
        <v>269</v>
      </c>
      <c r="C444" s="16" t="s">
        <v>270</v>
      </c>
      <c r="D444" s="16" t="s">
        <v>184</v>
      </c>
      <c r="E444" s="16" t="s">
        <v>185</v>
      </c>
      <c r="F444" s="16" t="s">
        <v>188</v>
      </c>
      <c r="G444" s="16" t="s">
        <v>189</v>
      </c>
      <c r="H444" s="16" t="s">
        <v>85</v>
      </c>
      <c r="I444" s="16" t="s">
        <v>40</v>
      </c>
      <c r="J444" s="16" t="s">
        <v>62</v>
      </c>
      <c r="K444" s="16" t="s">
        <v>63</v>
      </c>
      <c r="L444" s="15">
        <v>-7691.9489999999987</v>
      </c>
      <c r="M444" s="15">
        <v>-7691.9489999999987</v>
      </c>
      <c r="N444" s="15">
        <v>-7691.9499895899971</v>
      </c>
      <c r="O444" s="15">
        <v>9.8958999842579942E-4</v>
      </c>
      <c r="P444" s="15">
        <v>0</v>
      </c>
      <c r="Q444" s="15">
        <f t="shared" si="25"/>
        <v>0</v>
      </c>
      <c r="R444" s="15">
        <v>0</v>
      </c>
      <c r="S444" s="15">
        <f t="shared" si="26"/>
        <v>0</v>
      </c>
      <c r="T444" s="16"/>
      <c r="U444" s="16"/>
    </row>
    <row r="445" spans="1:21" x14ac:dyDescent="0.25">
      <c r="A445" s="28" t="s">
        <v>37</v>
      </c>
      <c r="B445" s="28" t="s">
        <v>269</v>
      </c>
      <c r="C445" s="28" t="s">
        <v>270</v>
      </c>
      <c r="D445" s="28" t="s">
        <v>184</v>
      </c>
      <c r="E445" s="28" t="s">
        <v>185</v>
      </c>
      <c r="F445" s="28" t="s">
        <v>190</v>
      </c>
      <c r="G445" s="28" t="s">
        <v>191</v>
      </c>
      <c r="H445" s="28" t="s">
        <v>85</v>
      </c>
      <c r="I445" s="28" t="s">
        <v>40</v>
      </c>
      <c r="J445" s="28" t="s">
        <v>38</v>
      </c>
      <c r="K445" s="28" t="s">
        <v>293</v>
      </c>
      <c r="L445" s="29">
        <v>-29893.487483152676</v>
      </c>
      <c r="M445" s="29">
        <v>0</v>
      </c>
      <c r="N445" s="29">
        <v>-10451.235420259469</v>
      </c>
      <c r="O445" s="29">
        <v>-19442.252062893211</v>
      </c>
      <c r="P445" s="29">
        <v>-19442.252062893211</v>
      </c>
      <c r="Q445" s="29">
        <f>P445-R445+19442</f>
        <v>-0.25206289321067743</v>
      </c>
      <c r="R445" s="15">
        <v>0</v>
      </c>
      <c r="S445" s="15">
        <f t="shared" si="26"/>
        <v>-0.25206289321067743</v>
      </c>
      <c r="T445" s="16"/>
      <c r="U445" s="16"/>
    </row>
    <row r="446" spans="1:21" x14ac:dyDescent="0.25">
      <c r="A446" s="16" t="s">
        <v>37</v>
      </c>
      <c r="B446" s="16" t="s">
        <v>257</v>
      </c>
      <c r="C446" s="16" t="s">
        <v>258</v>
      </c>
      <c r="D446" s="16" t="s">
        <v>184</v>
      </c>
      <c r="E446" s="16" t="s">
        <v>185</v>
      </c>
      <c r="F446" s="16" t="s">
        <v>190</v>
      </c>
      <c r="G446" s="16" t="s">
        <v>191</v>
      </c>
      <c r="H446" s="16" t="s">
        <v>85</v>
      </c>
      <c r="I446" s="16" t="s">
        <v>40</v>
      </c>
      <c r="J446" s="16" t="s">
        <v>38</v>
      </c>
      <c r="K446" s="16" t="s">
        <v>293</v>
      </c>
      <c r="L446" s="15">
        <v>-1632946.8463220997</v>
      </c>
      <c r="M446" s="15">
        <v>-674012</v>
      </c>
      <c r="N446" s="15">
        <v>-710143.52228180855</v>
      </c>
      <c r="O446" s="15">
        <v>-922803.3240402909</v>
      </c>
      <c r="P446" s="15">
        <v>-922803.3240402909</v>
      </c>
      <c r="Q446" s="15">
        <f>P446-R446+P445</f>
        <v>-942245.57610318414</v>
      </c>
      <c r="R446" s="15">
        <v>0</v>
      </c>
      <c r="S446" s="15">
        <f t="shared" si="26"/>
        <v>-942245.57610318414</v>
      </c>
      <c r="T446" s="16"/>
      <c r="U446" s="26"/>
    </row>
    <row r="447" spans="1:21" x14ac:dyDescent="0.25">
      <c r="A447" s="16" t="s">
        <v>37</v>
      </c>
      <c r="B447" s="16" t="s">
        <v>257</v>
      </c>
      <c r="C447" s="16" t="s">
        <v>258</v>
      </c>
      <c r="D447" s="16" t="s">
        <v>184</v>
      </c>
      <c r="E447" s="16" t="s">
        <v>185</v>
      </c>
      <c r="F447" s="16" t="s">
        <v>190</v>
      </c>
      <c r="G447" s="16" t="s">
        <v>191</v>
      </c>
      <c r="H447" s="16" t="s">
        <v>85</v>
      </c>
      <c r="I447" s="16" t="s">
        <v>40</v>
      </c>
      <c r="J447" s="16" t="s">
        <v>192</v>
      </c>
      <c r="K447" s="16" t="s">
        <v>193</v>
      </c>
      <c r="L447" s="15">
        <v>-1607237</v>
      </c>
      <c r="M447" s="15">
        <v>-1607237</v>
      </c>
      <c r="N447" s="15">
        <v>879670.23009999993</v>
      </c>
      <c r="O447" s="15">
        <v>-2486907.2300999998</v>
      </c>
      <c r="P447" s="15">
        <v>0</v>
      </c>
      <c r="Q447" s="15">
        <f t="shared" si="25"/>
        <v>0</v>
      </c>
      <c r="R447" s="15">
        <v>0</v>
      </c>
      <c r="S447" s="15">
        <f t="shared" si="26"/>
        <v>0</v>
      </c>
      <c r="T447" s="16"/>
      <c r="U447" s="26"/>
    </row>
    <row r="448" spans="1:21" x14ac:dyDescent="0.25">
      <c r="A448" s="16" t="s">
        <v>37</v>
      </c>
      <c r="B448" s="16" t="s">
        <v>257</v>
      </c>
      <c r="C448" s="16" t="s">
        <v>258</v>
      </c>
      <c r="D448" s="16" t="s">
        <v>184</v>
      </c>
      <c r="E448" s="16" t="s">
        <v>185</v>
      </c>
      <c r="F448" s="16" t="s">
        <v>190</v>
      </c>
      <c r="G448" s="16" t="s">
        <v>191</v>
      </c>
      <c r="H448" s="16" t="s">
        <v>85</v>
      </c>
      <c r="I448" s="16" t="s">
        <v>40</v>
      </c>
      <c r="J448" s="16" t="s">
        <v>194</v>
      </c>
      <c r="K448" s="16" t="s">
        <v>195</v>
      </c>
      <c r="L448" s="15">
        <v>-10549909</v>
      </c>
      <c r="M448" s="15">
        <v>-10191909</v>
      </c>
      <c r="N448" s="15">
        <v>-8691420.9600000009</v>
      </c>
      <c r="O448" s="15">
        <v>-1858488.040000001</v>
      </c>
      <c r="P448" s="15">
        <v>-358000</v>
      </c>
      <c r="Q448" s="15">
        <f t="shared" si="25"/>
        <v>-358000</v>
      </c>
      <c r="R448" s="15">
        <v>0</v>
      </c>
      <c r="S448" s="15">
        <f t="shared" si="26"/>
        <v>-358000</v>
      </c>
      <c r="T448" s="16"/>
      <c r="U448" s="26"/>
    </row>
    <row r="449" spans="1:21" x14ac:dyDescent="0.25">
      <c r="A449" s="16" t="s">
        <v>37</v>
      </c>
      <c r="B449" s="16" t="s">
        <v>257</v>
      </c>
      <c r="C449" s="16" t="s">
        <v>258</v>
      </c>
      <c r="D449" s="16" t="s">
        <v>184</v>
      </c>
      <c r="E449" s="16" t="s">
        <v>185</v>
      </c>
      <c r="F449" s="16" t="s">
        <v>190</v>
      </c>
      <c r="G449" s="16" t="s">
        <v>191</v>
      </c>
      <c r="H449" s="16" t="s">
        <v>85</v>
      </c>
      <c r="I449" s="16" t="s">
        <v>40</v>
      </c>
      <c r="J449" s="16" t="s">
        <v>196</v>
      </c>
      <c r="K449" s="16" t="s">
        <v>197</v>
      </c>
      <c r="L449" s="15">
        <v>-5000000</v>
      </c>
      <c r="M449" s="15">
        <v>0</v>
      </c>
      <c r="N449" s="15">
        <v>0</v>
      </c>
      <c r="O449" s="15">
        <v>-5000000</v>
      </c>
      <c r="P449" s="15">
        <v>-5000000</v>
      </c>
      <c r="Q449" s="15">
        <f t="shared" si="25"/>
        <v>-5000000</v>
      </c>
      <c r="R449" s="15">
        <v>0</v>
      </c>
      <c r="S449" s="15">
        <f t="shared" si="26"/>
        <v>-5000000</v>
      </c>
      <c r="T449" s="16"/>
      <c r="U449" s="26"/>
    </row>
    <row r="450" spans="1:21" x14ac:dyDescent="0.25">
      <c r="A450" s="16" t="s">
        <v>37</v>
      </c>
      <c r="B450" s="16" t="s">
        <v>257</v>
      </c>
      <c r="C450" s="16" t="s">
        <v>258</v>
      </c>
      <c r="D450" s="16" t="s">
        <v>184</v>
      </c>
      <c r="E450" s="16" t="s">
        <v>185</v>
      </c>
      <c r="F450" s="16" t="s">
        <v>190</v>
      </c>
      <c r="G450" s="16" t="s">
        <v>191</v>
      </c>
      <c r="H450" s="16" t="s">
        <v>85</v>
      </c>
      <c r="I450" s="16" t="s">
        <v>40</v>
      </c>
      <c r="J450" s="16" t="s">
        <v>198</v>
      </c>
      <c r="K450" s="16" t="s">
        <v>199</v>
      </c>
      <c r="L450" s="15">
        <v>-3290721</v>
      </c>
      <c r="M450" s="15">
        <v>-250721</v>
      </c>
      <c r="N450" s="15">
        <v>-1351800.8</v>
      </c>
      <c r="O450" s="15">
        <v>-1938920.2000000004</v>
      </c>
      <c r="P450" s="15">
        <v>-1938920.2000000004</v>
      </c>
      <c r="Q450" s="15">
        <f t="shared" si="25"/>
        <v>-1938920.2000000004</v>
      </c>
      <c r="R450" s="15">
        <v>0</v>
      </c>
      <c r="S450" s="15">
        <f t="shared" si="26"/>
        <v>-1938920.2000000004</v>
      </c>
      <c r="T450" s="16"/>
      <c r="U450" s="26"/>
    </row>
    <row r="451" spans="1:21" x14ac:dyDescent="0.25">
      <c r="A451" s="16" t="s">
        <v>37</v>
      </c>
      <c r="B451" s="16" t="s">
        <v>257</v>
      </c>
      <c r="C451" s="16" t="s">
        <v>258</v>
      </c>
      <c r="D451" s="16" t="s">
        <v>184</v>
      </c>
      <c r="E451" s="16" t="s">
        <v>185</v>
      </c>
      <c r="F451" s="16" t="s">
        <v>190</v>
      </c>
      <c r="G451" s="16" t="s">
        <v>191</v>
      </c>
      <c r="H451" s="16" t="s">
        <v>85</v>
      </c>
      <c r="I451" s="16" t="s">
        <v>40</v>
      </c>
      <c r="J451" s="16" t="s">
        <v>200</v>
      </c>
      <c r="K451" s="16" t="s">
        <v>201</v>
      </c>
      <c r="L451" s="15">
        <v>-14400</v>
      </c>
      <c r="M451" s="15">
        <v>-14400</v>
      </c>
      <c r="N451" s="15">
        <v>-14400</v>
      </c>
      <c r="O451" s="15">
        <v>0</v>
      </c>
      <c r="P451" s="15">
        <v>0</v>
      </c>
      <c r="Q451" s="15">
        <f t="shared" si="25"/>
        <v>0</v>
      </c>
      <c r="R451" s="15">
        <v>0</v>
      </c>
      <c r="S451" s="15">
        <f t="shared" si="26"/>
        <v>0</v>
      </c>
      <c r="T451" s="16"/>
      <c r="U451" s="26"/>
    </row>
    <row r="452" spans="1:21" x14ac:dyDescent="0.25">
      <c r="A452" s="16" t="s">
        <v>37</v>
      </c>
      <c r="B452" s="16" t="s">
        <v>257</v>
      </c>
      <c r="C452" s="16" t="s">
        <v>258</v>
      </c>
      <c r="D452" s="16" t="s">
        <v>184</v>
      </c>
      <c r="E452" s="16" t="s">
        <v>185</v>
      </c>
      <c r="F452" s="16" t="s">
        <v>190</v>
      </c>
      <c r="G452" s="16" t="s">
        <v>191</v>
      </c>
      <c r="H452" s="16" t="s">
        <v>85</v>
      </c>
      <c r="I452" s="16" t="s">
        <v>40</v>
      </c>
      <c r="J452" s="16" t="s">
        <v>298</v>
      </c>
      <c r="K452" s="16" t="s">
        <v>299</v>
      </c>
      <c r="L452" s="15">
        <v>-232910.76984380343</v>
      </c>
      <c r="M452" s="15">
        <v>-35186</v>
      </c>
      <c r="N452" s="15">
        <v>-22912.121005613822</v>
      </c>
      <c r="O452" s="15">
        <v>-209998.64883818963</v>
      </c>
      <c r="P452" s="15">
        <f>O452</f>
        <v>-209998.64883818963</v>
      </c>
      <c r="Q452" s="15">
        <f t="shared" si="25"/>
        <v>-209998.64883818963</v>
      </c>
      <c r="R452" s="15">
        <v>0</v>
      </c>
      <c r="S452" s="15">
        <f t="shared" si="26"/>
        <v>-209998.64883818963</v>
      </c>
      <c r="T452" s="16"/>
      <c r="U452" s="26"/>
    </row>
    <row r="453" spans="1:21" x14ac:dyDescent="0.25">
      <c r="A453" s="16" t="s">
        <v>37</v>
      </c>
      <c r="B453" s="16" t="s">
        <v>269</v>
      </c>
      <c r="C453" s="16" t="s">
        <v>270</v>
      </c>
      <c r="D453" s="16" t="s">
        <v>184</v>
      </c>
      <c r="E453" s="16" t="s">
        <v>185</v>
      </c>
      <c r="F453" s="16" t="s">
        <v>190</v>
      </c>
      <c r="G453" s="16" t="s">
        <v>191</v>
      </c>
      <c r="H453" s="16" t="s">
        <v>85</v>
      </c>
      <c r="I453" s="16" t="s">
        <v>40</v>
      </c>
      <c r="J453" s="16" t="s">
        <v>62</v>
      </c>
      <c r="K453" s="16" t="s">
        <v>63</v>
      </c>
      <c r="L453" s="15">
        <v>-8556.4620000000032</v>
      </c>
      <c r="M453" s="15">
        <v>-8556.4620000000032</v>
      </c>
      <c r="N453" s="15">
        <v>-8556.4599884199997</v>
      </c>
      <c r="O453" s="15">
        <v>-2.0115800020903407E-3</v>
      </c>
      <c r="P453" s="15">
        <v>0</v>
      </c>
      <c r="Q453" s="15">
        <f t="shared" ref="Q453:Q516" si="29">P453-R453</f>
        <v>0</v>
      </c>
      <c r="R453" s="15">
        <v>0</v>
      </c>
      <c r="S453" s="15">
        <f t="shared" ref="S453:S516" si="30">SUM(Q453:R453)</f>
        <v>0</v>
      </c>
      <c r="T453" s="16"/>
      <c r="U453" s="16"/>
    </row>
    <row r="454" spans="1:21" x14ac:dyDescent="0.25">
      <c r="A454" s="28" t="s">
        <v>37</v>
      </c>
      <c r="B454" s="28" t="s">
        <v>269</v>
      </c>
      <c r="C454" s="28" t="s">
        <v>270</v>
      </c>
      <c r="D454" s="28" t="s">
        <v>184</v>
      </c>
      <c r="E454" s="28" t="s">
        <v>202</v>
      </c>
      <c r="F454" s="28" t="s">
        <v>203</v>
      </c>
      <c r="G454" s="28" t="s">
        <v>204</v>
      </c>
      <c r="H454" s="28" t="s">
        <v>85</v>
      </c>
      <c r="I454" s="28" t="s">
        <v>40</v>
      </c>
      <c r="J454" s="28" t="s">
        <v>38</v>
      </c>
      <c r="K454" s="28" t="s">
        <v>293</v>
      </c>
      <c r="L454" s="29">
        <v>-102305.00000000001</v>
      </c>
      <c r="M454" s="29">
        <v>0</v>
      </c>
      <c r="N454" s="29">
        <v>0</v>
      </c>
      <c r="O454" s="29">
        <v>-102305.00000000001</v>
      </c>
      <c r="P454" s="29">
        <v>-102305.00000000001</v>
      </c>
      <c r="Q454" s="29">
        <v>0</v>
      </c>
      <c r="R454" s="15">
        <v>0</v>
      </c>
      <c r="S454" s="15">
        <f t="shared" si="30"/>
        <v>0</v>
      </c>
      <c r="T454" s="16"/>
      <c r="U454" s="16"/>
    </row>
    <row r="455" spans="1:21" x14ac:dyDescent="0.25">
      <c r="A455" s="16" t="s">
        <v>37</v>
      </c>
      <c r="B455" s="16" t="s">
        <v>257</v>
      </c>
      <c r="C455" s="16" t="s">
        <v>258</v>
      </c>
      <c r="D455" s="16" t="s">
        <v>184</v>
      </c>
      <c r="E455" s="16" t="s">
        <v>202</v>
      </c>
      <c r="F455" s="16" t="s">
        <v>203</v>
      </c>
      <c r="G455" s="16" t="s">
        <v>204</v>
      </c>
      <c r="H455" s="16" t="s">
        <v>85</v>
      </c>
      <c r="I455" s="16" t="s">
        <v>40</v>
      </c>
      <c r="J455" s="16" t="s">
        <v>38</v>
      </c>
      <c r="K455" s="16" t="s">
        <v>293</v>
      </c>
      <c r="L455" s="15">
        <v>-20406.2499980844</v>
      </c>
      <c r="M455" s="15">
        <v>0</v>
      </c>
      <c r="N455" s="15">
        <v>-20406.25</v>
      </c>
      <c r="O455" s="15">
        <v>1.915599568746984E-6</v>
      </c>
      <c r="P455" s="15">
        <v>0</v>
      </c>
      <c r="Q455" s="15">
        <f t="shared" si="29"/>
        <v>0</v>
      </c>
      <c r="R455" s="15">
        <v>0</v>
      </c>
      <c r="S455" s="15">
        <f t="shared" si="30"/>
        <v>0</v>
      </c>
      <c r="T455" s="16"/>
      <c r="U455" s="26"/>
    </row>
    <row r="456" spans="1:21" x14ac:dyDescent="0.25">
      <c r="A456" s="16" t="s">
        <v>37</v>
      </c>
      <c r="B456" s="16" t="s">
        <v>269</v>
      </c>
      <c r="C456" s="16" t="s">
        <v>270</v>
      </c>
      <c r="D456" s="16" t="s">
        <v>184</v>
      </c>
      <c r="E456" s="16" t="s">
        <v>202</v>
      </c>
      <c r="F456" s="16" t="s">
        <v>203</v>
      </c>
      <c r="G456" s="16" t="s">
        <v>204</v>
      </c>
      <c r="H456" s="16" t="s">
        <v>85</v>
      </c>
      <c r="I456" s="16" t="s">
        <v>40</v>
      </c>
      <c r="J456" s="16" t="s">
        <v>62</v>
      </c>
      <c r="K456" s="16" t="s">
        <v>63</v>
      </c>
      <c r="L456" s="15">
        <v>-2142.81</v>
      </c>
      <c r="M456" s="15">
        <v>-2142.81</v>
      </c>
      <c r="N456" s="15">
        <v>-2142.8099971000001</v>
      </c>
      <c r="O456" s="15">
        <v>-2.8999997994105797E-6</v>
      </c>
      <c r="P456" s="15">
        <v>0</v>
      </c>
      <c r="Q456" s="15">
        <f t="shared" si="29"/>
        <v>0</v>
      </c>
      <c r="R456" s="15">
        <v>0</v>
      </c>
      <c r="S456" s="15">
        <f t="shared" si="30"/>
        <v>0</v>
      </c>
      <c r="T456" s="16"/>
      <c r="U456" s="16"/>
    </row>
    <row r="457" spans="1:21" x14ac:dyDescent="0.25">
      <c r="A457" s="28" t="s">
        <v>37</v>
      </c>
      <c r="B457" s="28" t="s">
        <v>269</v>
      </c>
      <c r="C457" s="28" t="s">
        <v>270</v>
      </c>
      <c r="D457" s="28" t="s">
        <v>184</v>
      </c>
      <c r="E457" s="28" t="s">
        <v>202</v>
      </c>
      <c r="F457" s="28" t="s">
        <v>205</v>
      </c>
      <c r="G457" s="28" t="s">
        <v>206</v>
      </c>
      <c r="H457" s="28" t="s">
        <v>85</v>
      </c>
      <c r="I457" s="28" t="s">
        <v>40</v>
      </c>
      <c r="J457" s="28" t="s">
        <v>38</v>
      </c>
      <c r="K457" s="28" t="s">
        <v>293</v>
      </c>
      <c r="L457" s="29">
        <v>-10580.000000000002</v>
      </c>
      <c r="M457" s="29">
        <v>0</v>
      </c>
      <c r="N457" s="29">
        <v>0</v>
      </c>
      <c r="O457" s="29">
        <v>-10580.000000000002</v>
      </c>
      <c r="P457" s="29">
        <v>-10580.000000000002</v>
      </c>
      <c r="Q457" s="29">
        <v>0</v>
      </c>
      <c r="R457" s="15">
        <v>0</v>
      </c>
      <c r="S457" s="15">
        <f t="shared" si="30"/>
        <v>0</v>
      </c>
      <c r="T457" s="16"/>
      <c r="U457" s="16"/>
    </row>
    <row r="458" spans="1:21" x14ac:dyDescent="0.25">
      <c r="A458" s="16" t="s">
        <v>37</v>
      </c>
      <c r="B458" s="16" t="s">
        <v>257</v>
      </c>
      <c r="C458" s="16" t="s">
        <v>258</v>
      </c>
      <c r="D458" s="16" t="s">
        <v>184</v>
      </c>
      <c r="E458" s="16" t="s">
        <v>202</v>
      </c>
      <c r="F458" s="16" t="s">
        <v>205</v>
      </c>
      <c r="G458" s="16" t="s">
        <v>206</v>
      </c>
      <c r="H458" s="16" t="s">
        <v>85</v>
      </c>
      <c r="I458" s="16" t="s">
        <v>40</v>
      </c>
      <c r="J458" s="16" t="s">
        <v>38</v>
      </c>
      <c r="K458" s="16" t="s">
        <v>293</v>
      </c>
      <c r="L458" s="15">
        <v>-24487.499999801898</v>
      </c>
      <c r="M458" s="15">
        <v>0</v>
      </c>
      <c r="N458" s="15">
        <v>-24487.5</v>
      </c>
      <c r="O458" s="15">
        <v>1.9810067897196859E-7</v>
      </c>
      <c r="P458" s="15">
        <v>0</v>
      </c>
      <c r="Q458" s="15">
        <f t="shared" si="29"/>
        <v>0</v>
      </c>
      <c r="R458" s="15">
        <v>0</v>
      </c>
      <c r="S458" s="15">
        <f t="shared" si="30"/>
        <v>0</v>
      </c>
      <c r="T458" s="16"/>
      <c r="U458" s="26"/>
    </row>
    <row r="459" spans="1:21" x14ac:dyDescent="0.25">
      <c r="A459" s="28" t="s">
        <v>37</v>
      </c>
      <c r="B459" s="28" t="s">
        <v>269</v>
      </c>
      <c r="C459" s="28" t="s">
        <v>270</v>
      </c>
      <c r="D459" s="28" t="s">
        <v>184</v>
      </c>
      <c r="E459" s="28" t="s">
        <v>202</v>
      </c>
      <c r="F459" s="28" t="s">
        <v>207</v>
      </c>
      <c r="G459" s="28" t="s">
        <v>208</v>
      </c>
      <c r="H459" s="28" t="s">
        <v>85</v>
      </c>
      <c r="I459" s="28" t="s">
        <v>40</v>
      </c>
      <c r="J459" s="28" t="s">
        <v>38</v>
      </c>
      <c r="K459" s="28" t="s">
        <v>293</v>
      </c>
      <c r="L459" s="29">
        <v>-6020.0000000000018</v>
      </c>
      <c r="M459" s="29">
        <v>0</v>
      </c>
      <c r="N459" s="29">
        <v>0</v>
      </c>
      <c r="O459" s="29">
        <v>-6020.0000000000018</v>
      </c>
      <c r="P459" s="29">
        <v>-6020.0000000000018</v>
      </c>
      <c r="Q459" s="29">
        <v>0</v>
      </c>
      <c r="R459" s="15">
        <v>0</v>
      </c>
      <c r="S459" s="15">
        <f t="shared" si="30"/>
        <v>0</v>
      </c>
      <c r="T459" s="16"/>
      <c r="U459" s="16"/>
    </row>
    <row r="460" spans="1:21" x14ac:dyDescent="0.25">
      <c r="A460" s="16" t="s">
        <v>37</v>
      </c>
      <c r="B460" s="16" t="s">
        <v>257</v>
      </c>
      <c r="C460" s="16" t="s">
        <v>258</v>
      </c>
      <c r="D460" s="16" t="s">
        <v>184</v>
      </c>
      <c r="E460" s="16" t="s">
        <v>202</v>
      </c>
      <c r="F460" s="16" t="s">
        <v>207</v>
      </c>
      <c r="G460" s="16" t="s">
        <v>208</v>
      </c>
      <c r="H460" s="16" t="s">
        <v>85</v>
      </c>
      <c r="I460" s="16" t="s">
        <v>40</v>
      </c>
      <c r="J460" s="16" t="s">
        <v>38</v>
      </c>
      <c r="K460" s="16" t="s">
        <v>293</v>
      </c>
      <c r="L460" s="15">
        <v>-16324.999999887281</v>
      </c>
      <c r="M460" s="15">
        <v>0</v>
      </c>
      <c r="N460" s="15">
        <v>-16325</v>
      </c>
      <c r="O460" s="15">
        <v>1.1271731636952609E-7</v>
      </c>
      <c r="P460" s="15">
        <v>0</v>
      </c>
      <c r="Q460" s="15">
        <f t="shared" si="29"/>
        <v>0</v>
      </c>
      <c r="R460" s="15">
        <v>0</v>
      </c>
      <c r="S460" s="15">
        <f t="shared" si="30"/>
        <v>0</v>
      </c>
      <c r="T460" s="16"/>
      <c r="U460" s="26"/>
    </row>
    <row r="461" spans="1:21" x14ac:dyDescent="0.25">
      <c r="A461" s="28" t="s">
        <v>37</v>
      </c>
      <c r="B461" s="28" t="s">
        <v>269</v>
      </c>
      <c r="C461" s="28" t="s">
        <v>270</v>
      </c>
      <c r="D461" s="28" t="s">
        <v>184</v>
      </c>
      <c r="E461" s="28" t="s">
        <v>209</v>
      </c>
      <c r="F461" s="28" t="s">
        <v>210</v>
      </c>
      <c r="G461" s="28" t="s">
        <v>211</v>
      </c>
      <c r="H461" s="28" t="s">
        <v>85</v>
      </c>
      <c r="I461" s="28" t="s">
        <v>40</v>
      </c>
      <c r="J461" s="28" t="s">
        <v>38</v>
      </c>
      <c r="K461" s="28" t="s">
        <v>293</v>
      </c>
      <c r="L461" s="29">
        <v>-6648</v>
      </c>
      <c r="M461" s="29">
        <v>0</v>
      </c>
      <c r="N461" s="29">
        <v>0</v>
      </c>
      <c r="O461" s="29">
        <v>-6648</v>
      </c>
      <c r="P461" s="29">
        <v>-6648</v>
      </c>
      <c r="Q461" s="29">
        <v>0</v>
      </c>
      <c r="R461" s="15">
        <v>0</v>
      </c>
      <c r="S461" s="15">
        <f t="shared" si="30"/>
        <v>0</v>
      </c>
      <c r="T461" s="16"/>
      <c r="U461" s="16"/>
    </row>
    <row r="462" spans="1:21" x14ac:dyDescent="0.25">
      <c r="A462" s="16" t="s">
        <v>37</v>
      </c>
      <c r="B462" s="16" t="s">
        <v>257</v>
      </c>
      <c r="C462" s="16" t="s">
        <v>258</v>
      </c>
      <c r="D462" s="16" t="s">
        <v>184</v>
      </c>
      <c r="E462" s="16" t="s">
        <v>209</v>
      </c>
      <c r="F462" s="16" t="s">
        <v>210</v>
      </c>
      <c r="G462" s="16" t="s">
        <v>211</v>
      </c>
      <c r="H462" s="16" t="s">
        <v>85</v>
      </c>
      <c r="I462" s="16" t="s">
        <v>40</v>
      </c>
      <c r="J462" s="16" t="s">
        <v>38</v>
      </c>
      <c r="K462" s="16" t="s">
        <v>293</v>
      </c>
      <c r="L462" s="15">
        <v>-283322.00465245533</v>
      </c>
      <c r="M462" s="15">
        <v>-11655</v>
      </c>
      <c r="N462" s="15">
        <v>-53457.789999999994</v>
      </c>
      <c r="O462" s="15">
        <v>-229864.21465245535</v>
      </c>
      <c r="P462" s="15">
        <v>-229864.21465245535</v>
      </c>
      <c r="Q462" s="15">
        <v>0</v>
      </c>
      <c r="R462" s="15">
        <v>0</v>
      </c>
      <c r="S462" s="15">
        <f t="shared" si="30"/>
        <v>0</v>
      </c>
      <c r="T462" s="16"/>
      <c r="U462" s="26"/>
    </row>
    <row r="463" spans="1:21" x14ac:dyDescent="0.25">
      <c r="A463" s="16" t="s">
        <v>37</v>
      </c>
      <c r="B463" s="16" t="s">
        <v>269</v>
      </c>
      <c r="C463" s="16" t="s">
        <v>270</v>
      </c>
      <c r="D463" s="16" t="s">
        <v>184</v>
      </c>
      <c r="E463" s="16" t="s">
        <v>209</v>
      </c>
      <c r="F463" s="16" t="s">
        <v>210</v>
      </c>
      <c r="G463" s="16" t="s">
        <v>211</v>
      </c>
      <c r="H463" s="16" t="s">
        <v>85</v>
      </c>
      <c r="I463" s="16" t="s">
        <v>40</v>
      </c>
      <c r="J463" s="16" t="s">
        <v>62</v>
      </c>
      <c r="K463" s="16" t="s">
        <v>63</v>
      </c>
      <c r="L463" s="15">
        <v>-9472.6980000000003</v>
      </c>
      <c r="M463" s="15">
        <v>-9472.6980000000003</v>
      </c>
      <c r="N463" s="15">
        <v>-9472.6999871799962</v>
      </c>
      <c r="O463" s="15">
        <v>1.9871799959219061E-3</v>
      </c>
      <c r="P463" s="15">
        <v>0</v>
      </c>
      <c r="Q463" s="15">
        <f t="shared" si="29"/>
        <v>0</v>
      </c>
      <c r="R463" s="15">
        <v>0</v>
      </c>
      <c r="S463" s="15">
        <f t="shared" si="30"/>
        <v>0</v>
      </c>
      <c r="T463" s="16"/>
      <c r="U463" s="16"/>
    </row>
    <row r="464" spans="1:21" x14ac:dyDescent="0.25">
      <c r="A464" s="28" t="s">
        <v>37</v>
      </c>
      <c r="B464" s="28" t="s">
        <v>269</v>
      </c>
      <c r="C464" s="28" t="s">
        <v>270</v>
      </c>
      <c r="D464" s="28" t="s">
        <v>184</v>
      </c>
      <c r="E464" s="28" t="s">
        <v>209</v>
      </c>
      <c r="F464" s="28" t="s">
        <v>212</v>
      </c>
      <c r="G464" s="28" t="s">
        <v>213</v>
      </c>
      <c r="H464" s="28" t="s">
        <v>85</v>
      </c>
      <c r="I464" s="28" t="s">
        <v>40</v>
      </c>
      <c r="J464" s="28" t="s">
        <v>38</v>
      </c>
      <c r="K464" s="28" t="s">
        <v>293</v>
      </c>
      <c r="L464" s="29">
        <v>-1499</v>
      </c>
      <c r="M464" s="29">
        <v>0</v>
      </c>
      <c r="N464" s="29">
        <v>0</v>
      </c>
      <c r="O464" s="29">
        <v>-1499</v>
      </c>
      <c r="P464" s="29">
        <v>-1499</v>
      </c>
      <c r="Q464" s="29">
        <v>0</v>
      </c>
      <c r="R464" s="15">
        <v>0</v>
      </c>
      <c r="S464" s="15">
        <f t="shared" si="30"/>
        <v>0</v>
      </c>
      <c r="T464" s="16"/>
      <c r="U464" s="16"/>
    </row>
    <row r="465" spans="1:21" x14ac:dyDescent="0.25">
      <c r="A465" s="16" t="s">
        <v>37</v>
      </c>
      <c r="B465" s="16" t="s">
        <v>257</v>
      </c>
      <c r="C465" s="16" t="s">
        <v>258</v>
      </c>
      <c r="D465" s="16" t="s">
        <v>184</v>
      </c>
      <c r="E465" s="16" t="s">
        <v>209</v>
      </c>
      <c r="F465" s="16" t="s">
        <v>212</v>
      </c>
      <c r="G465" s="16" t="s">
        <v>213</v>
      </c>
      <c r="H465" s="16" t="s">
        <v>85</v>
      </c>
      <c r="I465" s="16" t="s">
        <v>40</v>
      </c>
      <c r="J465" s="16" t="s">
        <v>38</v>
      </c>
      <c r="K465" s="16" t="s">
        <v>293</v>
      </c>
      <c r="L465" s="15">
        <v>-8162.499999971933</v>
      </c>
      <c r="M465" s="15">
        <v>0</v>
      </c>
      <c r="N465" s="15">
        <v>-8162.5</v>
      </c>
      <c r="O465" s="15">
        <v>2.8067006496712565E-8</v>
      </c>
      <c r="P465" s="15">
        <v>0</v>
      </c>
      <c r="Q465" s="15">
        <f t="shared" si="29"/>
        <v>0</v>
      </c>
      <c r="R465" s="15">
        <v>0</v>
      </c>
      <c r="S465" s="15">
        <f t="shared" si="30"/>
        <v>0</v>
      </c>
      <c r="T465" s="16"/>
      <c r="U465" s="26"/>
    </row>
    <row r="466" spans="1:21" x14ac:dyDescent="0.25">
      <c r="A466" s="16" t="s">
        <v>37</v>
      </c>
      <c r="B466" s="16" t="s">
        <v>271</v>
      </c>
      <c r="C466" s="16" t="s">
        <v>272</v>
      </c>
      <c r="D466" s="16" t="s">
        <v>214</v>
      </c>
      <c r="E466" s="16" t="s">
        <v>215</v>
      </c>
      <c r="F466" s="16" t="s">
        <v>216</v>
      </c>
      <c r="G466" s="16" t="s">
        <v>217</v>
      </c>
      <c r="H466" s="16" t="s">
        <v>85</v>
      </c>
      <c r="I466" s="16" t="s">
        <v>40</v>
      </c>
      <c r="J466" s="16" t="s">
        <v>77</v>
      </c>
      <c r="K466" s="16" t="s">
        <v>78</v>
      </c>
      <c r="L466" s="15">
        <v>0</v>
      </c>
      <c r="M466" s="15">
        <v>0</v>
      </c>
      <c r="N466" s="15">
        <v>0</v>
      </c>
      <c r="O466" s="15">
        <v>0</v>
      </c>
      <c r="P466" s="15">
        <v>0</v>
      </c>
      <c r="Q466" s="15">
        <f t="shared" si="29"/>
        <v>180000</v>
      </c>
      <c r="R466" s="15">
        <v>-180000</v>
      </c>
      <c r="S466" s="15">
        <f t="shared" si="30"/>
        <v>0</v>
      </c>
      <c r="T466" s="16"/>
      <c r="U466" s="16"/>
    </row>
    <row r="467" spans="1:21" x14ac:dyDescent="0.25">
      <c r="A467" s="16" t="s">
        <v>37</v>
      </c>
      <c r="B467" s="16" t="s">
        <v>271</v>
      </c>
      <c r="C467" s="16" t="s">
        <v>272</v>
      </c>
      <c r="D467" s="16" t="s">
        <v>214</v>
      </c>
      <c r="E467" s="16" t="s">
        <v>215</v>
      </c>
      <c r="F467" s="16" t="s">
        <v>216</v>
      </c>
      <c r="G467" s="16" t="s">
        <v>217</v>
      </c>
      <c r="H467" s="16" t="s">
        <v>85</v>
      </c>
      <c r="I467" s="16" t="s">
        <v>40</v>
      </c>
      <c r="J467" s="16" t="s">
        <v>79</v>
      </c>
      <c r="K467" s="16" t="s">
        <v>80</v>
      </c>
      <c r="L467" s="15">
        <v>0</v>
      </c>
      <c r="M467" s="15">
        <v>0</v>
      </c>
      <c r="N467" s="15">
        <v>0</v>
      </c>
      <c r="O467" s="15">
        <v>0</v>
      </c>
      <c r="P467" s="15">
        <v>0</v>
      </c>
      <c r="Q467" s="15">
        <f t="shared" si="29"/>
        <v>200000</v>
      </c>
      <c r="R467" s="15">
        <v>-200000</v>
      </c>
      <c r="S467" s="15">
        <f t="shared" si="30"/>
        <v>0</v>
      </c>
      <c r="T467" s="16"/>
      <c r="U467" s="16"/>
    </row>
    <row r="468" spans="1:21" x14ac:dyDescent="0.25">
      <c r="A468" s="28" t="s">
        <v>37</v>
      </c>
      <c r="B468" s="28" t="s">
        <v>269</v>
      </c>
      <c r="C468" s="28" t="s">
        <v>270</v>
      </c>
      <c r="D468" s="28" t="s">
        <v>214</v>
      </c>
      <c r="E468" s="28" t="s">
        <v>218</v>
      </c>
      <c r="F468" s="28" t="s">
        <v>219</v>
      </c>
      <c r="G468" s="28" t="s">
        <v>220</v>
      </c>
      <c r="H468" s="28" t="s">
        <v>85</v>
      </c>
      <c r="I468" s="28" t="s">
        <v>40</v>
      </c>
      <c r="J468" s="28" t="s">
        <v>38</v>
      </c>
      <c r="K468" s="28" t="s">
        <v>293</v>
      </c>
      <c r="L468" s="29">
        <v>-15348.801630610344</v>
      </c>
      <c r="M468" s="29">
        <v>0</v>
      </c>
      <c r="N468" s="29">
        <v>-6181.9399054475953</v>
      </c>
      <c r="O468" s="29">
        <v>-9166.8617251627475</v>
      </c>
      <c r="P468" s="29">
        <v>-9166.8617251627475</v>
      </c>
      <c r="Q468" s="29">
        <f>P468+9167</f>
        <v>0.13827483725253842</v>
      </c>
      <c r="R468" s="15">
        <v>0</v>
      </c>
      <c r="S468" s="15">
        <f t="shared" si="30"/>
        <v>0.13827483725253842</v>
      </c>
      <c r="T468" s="16"/>
      <c r="U468" s="16"/>
    </row>
    <row r="469" spans="1:21" x14ac:dyDescent="0.25">
      <c r="A469" s="16" t="s">
        <v>37</v>
      </c>
      <c r="B469" s="16" t="s">
        <v>257</v>
      </c>
      <c r="C469" s="16" t="s">
        <v>258</v>
      </c>
      <c r="D469" s="16" t="s">
        <v>214</v>
      </c>
      <c r="E469" s="16" t="s">
        <v>218</v>
      </c>
      <c r="F469" s="16" t="s">
        <v>219</v>
      </c>
      <c r="G469" s="16" t="s">
        <v>220</v>
      </c>
      <c r="H469" s="16" t="s">
        <v>85</v>
      </c>
      <c r="I469" s="16" t="s">
        <v>40</v>
      </c>
      <c r="J469" s="16" t="s">
        <v>38</v>
      </c>
      <c r="K469" s="16" t="s">
        <v>293</v>
      </c>
      <c r="L469" s="15">
        <v>-177487.76909784213</v>
      </c>
      <c r="M469" s="15">
        <v>-43754.400000000001</v>
      </c>
      <c r="N469" s="15">
        <v>-114346.56622938419</v>
      </c>
      <c r="O469" s="15">
        <v>-63141.202868457913</v>
      </c>
      <c r="P469" s="15">
        <v>-63141.202868457913</v>
      </c>
      <c r="Q469" s="15">
        <f>P469+P468</f>
        <v>-72308.064593620657</v>
      </c>
      <c r="R469" s="15">
        <v>0</v>
      </c>
      <c r="S469" s="15">
        <f t="shared" si="30"/>
        <v>-72308.064593620657</v>
      </c>
      <c r="T469" s="16"/>
      <c r="U469" s="26"/>
    </row>
    <row r="470" spans="1:21" x14ac:dyDescent="0.25">
      <c r="A470" s="16" t="s">
        <v>37</v>
      </c>
      <c r="B470" s="16" t="s">
        <v>257</v>
      </c>
      <c r="C470" s="16" t="s">
        <v>258</v>
      </c>
      <c r="D470" s="16" t="s">
        <v>214</v>
      </c>
      <c r="E470" s="16" t="s">
        <v>218</v>
      </c>
      <c r="F470" s="16" t="s">
        <v>219</v>
      </c>
      <c r="G470" s="16" t="s">
        <v>220</v>
      </c>
      <c r="H470" s="16" t="s">
        <v>85</v>
      </c>
      <c r="I470" s="16" t="s">
        <v>40</v>
      </c>
      <c r="J470" s="16" t="s">
        <v>221</v>
      </c>
      <c r="K470" s="16" t="s">
        <v>222</v>
      </c>
      <c r="L470" s="15">
        <v>-723550.31</v>
      </c>
      <c r="M470" s="15">
        <v>0</v>
      </c>
      <c r="N470" s="15">
        <v>-78422.67</v>
      </c>
      <c r="O470" s="15">
        <v>-645127.64000000013</v>
      </c>
      <c r="P470" s="15">
        <v>-645127.64000000013</v>
      </c>
      <c r="Q470" s="15">
        <f t="shared" si="29"/>
        <v>-645127.64000000013</v>
      </c>
      <c r="R470" s="15">
        <v>0</v>
      </c>
      <c r="S470" s="15">
        <f t="shared" si="30"/>
        <v>-645127.64000000013</v>
      </c>
      <c r="T470" s="16"/>
      <c r="U470" s="26"/>
    </row>
    <row r="471" spans="1:21" x14ac:dyDescent="0.25">
      <c r="A471" s="16" t="s">
        <v>37</v>
      </c>
      <c r="B471" s="16" t="s">
        <v>257</v>
      </c>
      <c r="C471" s="16" t="s">
        <v>258</v>
      </c>
      <c r="D471" s="16" t="s">
        <v>214</v>
      </c>
      <c r="E471" s="16" t="s">
        <v>218</v>
      </c>
      <c r="F471" s="16" t="s">
        <v>219</v>
      </c>
      <c r="G471" s="16" t="s">
        <v>220</v>
      </c>
      <c r="H471" s="16" t="s">
        <v>85</v>
      </c>
      <c r="I471" s="16" t="s">
        <v>40</v>
      </c>
      <c r="J471" s="16" t="s">
        <v>223</v>
      </c>
      <c r="K471" s="16" t="s">
        <v>224</v>
      </c>
      <c r="L471" s="15">
        <v>-709754.59</v>
      </c>
      <c r="M471" s="15">
        <v>0</v>
      </c>
      <c r="N471" s="15">
        <v>-285974.53999999998</v>
      </c>
      <c r="O471" s="15">
        <v>-423780.05</v>
      </c>
      <c r="P471" s="15">
        <v>-423780.05</v>
      </c>
      <c r="Q471" s="15">
        <f t="shared" si="29"/>
        <v>-423780.05</v>
      </c>
      <c r="R471" s="15">
        <v>0</v>
      </c>
      <c r="S471" s="15">
        <f t="shared" si="30"/>
        <v>-423780.05</v>
      </c>
      <c r="T471" s="16"/>
      <c r="U471" s="26"/>
    </row>
    <row r="472" spans="1:21" x14ac:dyDescent="0.25">
      <c r="A472" s="16" t="s">
        <v>37</v>
      </c>
      <c r="B472" s="16" t="s">
        <v>257</v>
      </c>
      <c r="C472" s="16" t="s">
        <v>258</v>
      </c>
      <c r="D472" s="16" t="s">
        <v>214</v>
      </c>
      <c r="E472" s="16" t="s">
        <v>218</v>
      </c>
      <c r="F472" s="16" t="s">
        <v>219</v>
      </c>
      <c r="G472" s="16" t="s">
        <v>220</v>
      </c>
      <c r="H472" s="16" t="s">
        <v>85</v>
      </c>
      <c r="I472" s="16" t="s">
        <v>40</v>
      </c>
      <c r="J472" s="16" t="s">
        <v>225</v>
      </c>
      <c r="K472" s="16" t="s">
        <v>226</v>
      </c>
      <c r="L472" s="15">
        <v>-985919.54999999993</v>
      </c>
      <c r="M472" s="15">
        <v>-985919.54999999993</v>
      </c>
      <c r="N472" s="15">
        <v>-920899.58</v>
      </c>
      <c r="O472" s="15">
        <v>-65019.969999999972</v>
      </c>
      <c r="P472" s="15">
        <v>0</v>
      </c>
      <c r="Q472" s="15">
        <f t="shared" si="29"/>
        <v>0</v>
      </c>
      <c r="R472" s="15">
        <v>0</v>
      </c>
      <c r="S472" s="15">
        <f t="shared" si="30"/>
        <v>0</v>
      </c>
      <c r="T472" s="16"/>
      <c r="U472" s="26"/>
    </row>
    <row r="473" spans="1:21" x14ac:dyDescent="0.25">
      <c r="A473" s="16" t="s">
        <v>37</v>
      </c>
      <c r="B473" s="16" t="s">
        <v>257</v>
      </c>
      <c r="C473" s="16" t="s">
        <v>258</v>
      </c>
      <c r="D473" s="16" t="s">
        <v>214</v>
      </c>
      <c r="E473" s="16" t="s">
        <v>218</v>
      </c>
      <c r="F473" s="16" t="s">
        <v>219</v>
      </c>
      <c r="G473" s="16" t="s">
        <v>220</v>
      </c>
      <c r="H473" s="16" t="s">
        <v>85</v>
      </c>
      <c r="I473" s="16" t="s">
        <v>40</v>
      </c>
      <c r="J473" s="16" t="s">
        <v>296</v>
      </c>
      <c r="K473" s="16" t="s">
        <v>297</v>
      </c>
      <c r="L473" s="15">
        <v>-65110.199951399991</v>
      </c>
      <c r="M473" s="15">
        <v>0</v>
      </c>
      <c r="N473" s="15">
        <v>-48673.494599999998</v>
      </c>
      <c r="O473" s="15">
        <v>-16436.705351399996</v>
      </c>
      <c r="P473" s="15">
        <v>-16436.705351399996</v>
      </c>
      <c r="Q473" s="15">
        <f t="shared" si="29"/>
        <v>-16436.705351399996</v>
      </c>
      <c r="R473" s="15">
        <v>0</v>
      </c>
      <c r="S473" s="15">
        <f t="shared" si="30"/>
        <v>-16436.705351399996</v>
      </c>
      <c r="T473" s="16"/>
      <c r="U473" s="26"/>
    </row>
    <row r="474" spans="1:21" x14ac:dyDescent="0.25">
      <c r="A474" s="16" t="s">
        <v>37</v>
      </c>
      <c r="B474" s="16" t="s">
        <v>257</v>
      </c>
      <c r="C474" s="16" t="s">
        <v>258</v>
      </c>
      <c r="D474" s="16" t="s">
        <v>214</v>
      </c>
      <c r="E474" s="16" t="s">
        <v>218</v>
      </c>
      <c r="F474" s="16" t="s">
        <v>219</v>
      </c>
      <c r="G474" s="16" t="s">
        <v>220</v>
      </c>
      <c r="H474" s="16" t="s">
        <v>85</v>
      </c>
      <c r="I474" s="16" t="s">
        <v>40</v>
      </c>
      <c r="J474" s="16" t="s">
        <v>298</v>
      </c>
      <c r="K474" s="16" t="s">
        <v>299</v>
      </c>
      <c r="L474" s="15">
        <v>-78.741935483870961</v>
      </c>
      <c r="M474" s="15">
        <v>0</v>
      </c>
      <c r="N474" s="15">
        <v>-26.451493674800002</v>
      </c>
      <c r="O474" s="15">
        <v>-52.290441809070941</v>
      </c>
      <c r="P474" s="15">
        <v>-52.290441809070941</v>
      </c>
      <c r="Q474" s="15">
        <f t="shared" si="29"/>
        <v>-52.290441809070941</v>
      </c>
      <c r="R474" s="15">
        <v>0</v>
      </c>
      <c r="S474" s="15">
        <f t="shared" si="30"/>
        <v>-52.290441809070941</v>
      </c>
      <c r="T474" s="16"/>
      <c r="U474" s="26"/>
    </row>
    <row r="475" spans="1:21" x14ac:dyDescent="0.25">
      <c r="A475" s="16" t="s">
        <v>37</v>
      </c>
      <c r="B475" s="16" t="s">
        <v>269</v>
      </c>
      <c r="C475" s="16" t="s">
        <v>270</v>
      </c>
      <c r="D475" s="16" t="s">
        <v>214</v>
      </c>
      <c r="E475" s="16" t="s">
        <v>218</v>
      </c>
      <c r="F475" s="16" t="s">
        <v>219</v>
      </c>
      <c r="G475" s="16" t="s">
        <v>220</v>
      </c>
      <c r="H475" s="16" t="s">
        <v>85</v>
      </c>
      <c r="I475" s="16" t="s">
        <v>40</v>
      </c>
      <c r="J475" s="16" t="s">
        <v>62</v>
      </c>
      <c r="K475" s="16" t="s">
        <v>63</v>
      </c>
      <c r="L475" s="15">
        <v>-2046.7529999999997</v>
      </c>
      <c r="M475" s="15">
        <v>-2046.7529999999997</v>
      </c>
      <c r="N475" s="15">
        <v>-2046.7499972300038</v>
      </c>
      <c r="O475" s="15">
        <v>-3.0027699957599907E-3</v>
      </c>
      <c r="P475" s="15">
        <v>0</v>
      </c>
      <c r="Q475" s="15">
        <f t="shared" si="29"/>
        <v>0</v>
      </c>
      <c r="R475" s="15">
        <v>0</v>
      </c>
      <c r="S475" s="15">
        <f t="shared" si="30"/>
        <v>0</v>
      </c>
      <c r="T475" s="16"/>
      <c r="U475" s="16"/>
    </row>
    <row r="476" spans="1:21" x14ac:dyDescent="0.25">
      <c r="A476" s="16" t="s">
        <v>37</v>
      </c>
      <c r="B476" s="16" t="s">
        <v>257</v>
      </c>
      <c r="C476" s="16" t="s">
        <v>258</v>
      </c>
      <c r="D476" s="16" t="s">
        <v>214</v>
      </c>
      <c r="E476" s="16" t="s">
        <v>218</v>
      </c>
      <c r="F476" s="16" t="s">
        <v>219</v>
      </c>
      <c r="G476" s="16" t="s">
        <v>220</v>
      </c>
      <c r="H476" s="16" t="s">
        <v>85</v>
      </c>
      <c r="I476" s="16" t="s">
        <v>40</v>
      </c>
      <c r="J476" s="16" t="s">
        <v>227</v>
      </c>
      <c r="K476" s="16" t="s">
        <v>228</v>
      </c>
      <c r="L476" s="15">
        <v>-25859000.0002</v>
      </c>
      <c r="M476" s="15">
        <v>0</v>
      </c>
      <c r="N476" s="15">
        <v>-25856746.48</v>
      </c>
      <c r="O476" s="15">
        <v>-2253.5201999992132</v>
      </c>
      <c r="P476" s="15">
        <v>-2253.5201999992132</v>
      </c>
      <c r="Q476" s="15">
        <v>0</v>
      </c>
      <c r="R476" s="15">
        <v>0</v>
      </c>
      <c r="S476" s="15">
        <f t="shared" si="30"/>
        <v>0</v>
      </c>
      <c r="T476" s="16"/>
      <c r="U476" s="15">
        <f>O476</f>
        <v>-2253.5201999992132</v>
      </c>
    </row>
    <row r="477" spans="1:21" x14ac:dyDescent="0.25">
      <c r="A477" s="16" t="s">
        <v>37</v>
      </c>
      <c r="B477" s="16" t="s">
        <v>271</v>
      </c>
      <c r="C477" s="16" t="s">
        <v>272</v>
      </c>
      <c r="D477" s="16" t="s">
        <v>214</v>
      </c>
      <c r="E477" s="16" t="s">
        <v>218</v>
      </c>
      <c r="F477" s="16" t="s">
        <v>229</v>
      </c>
      <c r="G477" s="16" t="s">
        <v>217</v>
      </c>
      <c r="H477" s="16" t="s">
        <v>85</v>
      </c>
      <c r="I477" s="16" t="s">
        <v>40</v>
      </c>
      <c r="J477" s="16" t="s">
        <v>38</v>
      </c>
      <c r="K477" s="16" t="s">
        <v>293</v>
      </c>
      <c r="L477" s="15">
        <v>-7909936.519989999</v>
      </c>
      <c r="M477" s="15">
        <v>-11617.52</v>
      </c>
      <c r="N477" s="15">
        <v>-3470608.1826999998</v>
      </c>
      <c r="O477" s="15">
        <v>-4439328.3372900002</v>
      </c>
      <c r="P477" s="15">
        <v>-4439328.3372900002</v>
      </c>
      <c r="Q477" s="15">
        <f t="shared" ref="Q477:Q478" si="31">P477</f>
        <v>-4439328.3372900002</v>
      </c>
      <c r="R477" s="15">
        <v>0</v>
      </c>
      <c r="S477" s="15">
        <f t="shared" si="30"/>
        <v>-4439328.3372900002</v>
      </c>
      <c r="T477" s="16"/>
      <c r="U477" s="16"/>
    </row>
    <row r="478" spans="1:21" x14ac:dyDescent="0.25">
      <c r="A478" s="16" t="s">
        <v>37</v>
      </c>
      <c r="B478" s="16" t="s">
        <v>259</v>
      </c>
      <c r="C478" s="16" t="s">
        <v>260</v>
      </c>
      <c r="D478" s="16" t="s">
        <v>214</v>
      </c>
      <c r="E478" s="16" t="s">
        <v>218</v>
      </c>
      <c r="F478" s="16" t="s">
        <v>229</v>
      </c>
      <c r="G478" s="16" t="s">
        <v>217</v>
      </c>
      <c r="H478" s="16" t="s">
        <v>85</v>
      </c>
      <c r="I478" s="16" t="s">
        <v>40</v>
      </c>
      <c r="J478" s="16" t="s">
        <v>38</v>
      </c>
      <c r="K478" s="16" t="s">
        <v>293</v>
      </c>
      <c r="L478" s="15">
        <v>-2722525.4942032788</v>
      </c>
      <c r="M478" s="15">
        <v>0</v>
      </c>
      <c r="N478" s="15">
        <v>-1683822.9491519728</v>
      </c>
      <c r="O478" s="15">
        <v>-1038702.5450513053</v>
      </c>
      <c r="P478" s="15">
        <v>-1038702.5450513053</v>
      </c>
      <c r="Q478" s="15">
        <f t="shared" si="31"/>
        <v>-1038702.5450513053</v>
      </c>
      <c r="R478" s="15">
        <v>0</v>
      </c>
      <c r="S478" s="15">
        <f t="shared" si="30"/>
        <v>-1038702.5450513053</v>
      </c>
      <c r="T478" s="16"/>
      <c r="U478" s="16"/>
    </row>
    <row r="479" spans="1:21" x14ac:dyDescent="0.25">
      <c r="A479" s="28" t="s">
        <v>37</v>
      </c>
      <c r="B479" s="28" t="s">
        <v>269</v>
      </c>
      <c r="C479" s="28" t="s">
        <v>270</v>
      </c>
      <c r="D479" s="28" t="s">
        <v>214</v>
      </c>
      <c r="E479" s="28" t="s">
        <v>218</v>
      </c>
      <c r="F479" s="28" t="s">
        <v>229</v>
      </c>
      <c r="G479" s="28" t="s">
        <v>217</v>
      </c>
      <c r="H479" s="28" t="s">
        <v>85</v>
      </c>
      <c r="I479" s="28" t="s">
        <v>40</v>
      </c>
      <c r="J479" s="28" t="s">
        <v>38</v>
      </c>
      <c r="K479" s="28" t="s">
        <v>293</v>
      </c>
      <c r="L479" s="29">
        <v>-43653.235553377082</v>
      </c>
      <c r="M479" s="29">
        <v>0</v>
      </c>
      <c r="N479" s="29">
        <v>-7155.3392828247024</v>
      </c>
      <c r="O479" s="29">
        <v>-36497.896270552374</v>
      </c>
      <c r="P479" s="29">
        <v>-36497.896270552374</v>
      </c>
      <c r="Q479" s="29">
        <f>P479+36498</f>
        <v>0.10372944762639236</v>
      </c>
      <c r="R479" s="15">
        <v>0</v>
      </c>
      <c r="S479" s="15">
        <f t="shared" si="30"/>
        <v>0.10372944762639236</v>
      </c>
      <c r="T479" s="16"/>
      <c r="U479" s="16"/>
    </row>
    <row r="480" spans="1:21" x14ac:dyDescent="0.25">
      <c r="A480" s="16" t="s">
        <v>37</v>
      </c>
      <c r="B480" s="16" t="s">
        <v>257</v>
      </c>
      <c r="C480" s="16" t="s">
        <v>258</v>
      </c>
      <c r="D480" s="16" t="s">
        <v>214</v>
      </c>
      <c r="E480" s="16" t="s">
        <v>218</v>
      </c>
      <c r="F480" s="16" t="s">
        <v>229</v>
      </c>
      <c r="G480" s="16" t="s">
        <v>217</v>
      </c>
      <c r="H480" s="16" t="s">
        <v>85</v>
      </c>
      <c r="I480" s="16" t="s">
        <v>40</v>
      </c>
      <c r="J480" s="16" t="s">
        <v>38</v>
      </c>
      <c r="K480" s="16" t="s">
        <v>293</v>
      </c>
      <c r="L480" s="15">
        <v>-307007.73201101931</v>
      </c>
      <c r="M480" s="15">
        <v>-49440</v>
      </c>
      <c r="N480" s="15">
        <v>-611848.73498035409</v>
      </c>
      <c r="O480" s="15">
        <v>304841.00296933495</v>
      </c>
      <c r="P480" s="15">
        <f>O480</f>
        <v>304841.00296933495</v>
      </c>
      <c r="Q480" s="15">
        <f>P480+P479</f>
        <v>268343.10669878259</v>
      </c>
      <c r="R480" s="15">
        <v>0</v>
      </c>
      <c r="S480" s="15">
        <f t="shared" si="30"/>
        <v>268343.10669878259</v>
      </c>
      <c r="T480" s="16"/>
      <c r="U480" s="26"/>
    </row>
    <row r="481" spans="1:21" x14ac:dyDescent="0.25">
      <c r="A481" s="16" t="s">
        <v>37</v>
      </c>
      <c r="B481" s="16" t="s">
        <v>257</v>
      </c>
      <c r="C481" s="16" t="s">
        <v>258</v>
      </c>
      <c r="D481" s="16" t="s">
        <v>214</v>
      </c>
      <c r="E481" s="16" t="s">
        <v>218</v>
      </c>
      <c r="F481" s="16" t="s">
        <v>229</v>
      </c>
      <c r="G481" s="16" t="s">
        <v>217</v>
      </c>
      <c r="H481" s="16" t="s">
        <v>85</v>
      </c>
      <c r="I481" s="16" t="s">
        <v>40</v>
      </c>
      <c r="J481" s="16" t="s">
        <v>296</v>
      </c>
      <c r="K481" s="16" t="s">
        <v>297</v>
      </c>
      <c r="L481" s="15">
        <v>-43406.799967599996</v>
      </c>
      <c r="M481" s="15">
        <v>0</v>
      </c>
      <c r="N481" s="15">
        <v>-32448.9964</v>
      </c>
      <c r="O481" s="15">
        <v>-10957.803567600007</v>
      </c>
      <c r="P481" s="15">
        <v>-10957.803567600007</v>
      </c>
      <c r="Q481" s="15">
        <f t="shared" si="29"/>
        <v>-10957.803567600007</v>
      </c>
      <c r="R481" s="15">
        <v>0</v>
      </c>
      <c r="S481" s="15">
        <f t="shared" si="30"/>
        <v>-10957.803567600007</v>
      </c>
      <c r="T481" s="16"/>
      <c r="U481" s="26"/>
    </row>
    <row r="482" spans="1:21" x14ac:dyDescent="0.25">
      <c r="A482" s="16" t="s">
        <v>37</v>
      </c>
      <c r="B482" s="16" t="s">
        <v>259</v>
      </c>
      <c r="C482" s="16" t="s">
        <v>260</v>
      </c>
      <c r="D482" s="16" t="s">
        <v>214</v>
      </c>
      <c r="E482" s="16" t="s">
        <v>218</v>
      </c>
      <c r="F482" s="16" t="s">
        <v>229</v>
      </c>
      <c r="G482" s="16" t="s">
        <v>217</v>
      </c>
      <c r="H482" s="16" t="s">
        <v>85</v>
      </c>
      <c r="I482" s="16" t="s">
        <v>40</v>
      </c>
      <c r="J482" s="16" t="s">
        <v>124</v>
      </c>
      <c r="K482" s="16" t="s">
        <v>125</v>
      </c>
      <c r="L482" s="15">
        <v>0</v>
      </c>
      <c r="M482" s="15">
        <v>0</v>
      </c>
      <c r="N482" s="15">
        <v>3.3466575447960167E-3</v>
      </c>
      <c r="O482" s="15">
        <v>-3.3466575447960167E-3</v>
      </c>
      <c r="P482" s="15">
        <v>0</v>
      </c>
      <c r="Q482" s="15">
        <f t="shared" si="29"/>
        <v>0</v>
      </c>
      <c r="R482" s="15">
        <v>0</v>
      </c>
      <c r="S482" s="15">
        <f t="shared" si="30"/>
        <v>0</v>
      </c>
      <c r="T482" s="16"/>
      <c r="U482" s="16"/>
    </row>
    <row r="483" spans="1:21" x14ac:dyDescent="0.25">
      <c r="A483" s="16" t="s">
        <v>37</v>
      </c>
      <c r="B483" s="16" t="s">
        <v>257</v>
      </c>
      <c r="C483" s="16" t="s">
        <v>258</v>
      </c>
      <c r="D483" s="16" t="s">
        <v>214</v>
      </c>
      <c r="E483" s="16" t="s">
        <v>218</v>
      </c>
      <c r="F483" s="16" t="s">
        <v>229</v>
      </c>
      <c r="G483" s="16" t="s">
        <v>217</v>
      </c>
      <c r="H483" s="16" t="s">
        <v>85</v>
      </c>
      <c r="I483" s="16" t="s">
        <v>40</v>
      </c>
      <c r="J483" s="16" t="s">
        <v>298</v>
      </c>
      <c r="K483" s="16" t="s">
        <v>299</v>
      </c>
      <c r="L483" s="15">
        <v>-78.741935483870961</v>
      </c>
      <c r="M483" s="15">
        <v>0</v>
      </c>
      <c r="N483" s="15">
        <v>-15.9319120748</v>
      </c>
      <c r="O483" s="15">
        <v>-62.810023409070951</v>
      </c>
      <c r="P483" s="15">
        <v>-62.810023409070951</v>
      </c>
      <c r="Q483" s="15">
        <f t="shared" si="29"/>
        <v>-62.810023409070951</v>
      </c>
      <c r="R483" s="15">
        <v>0</v>
      </c>
      <c r="S483" s="15">
        <f t="shared" si="30"/>
        <v>-62.810023409070951</v>
      </c>
      <c r="T483" s="16"/>
      <c r="U483" s="26"/>
    </row>
    <row r="484" spans="1:21" x14ac:dyDescent="0.25">
      <c r="A484" s="16" t="s">
        <v>37</v>
      </c>
      <c r="B484" s="16" t="s">
        <v>271</v>
      </c>
      <c r="C484" s="16" t="s">
        <v>272</v>
      </c>
      <c r="D484" s="16" t="s">
        <v>214</v>
      </c>
      <c r="E484" s="16" t="s">
        <v>218</v>
      </c>
      <c r="F484" s="16" t="s">
        <v>229</v>
      </c>
      <c r="G484" s="16" t="s">
        <v>217</v>
      </c>
      <c r="H484" s="16" t="s">
        <v>85</v>
      </c>
      <c r="I484" s="16" t="s">
        <v>40</v>
      </c>
      <c r="J484" s="16" t="s">
        <v>287</v>
      </c>
      <c r="K484" s="16" t="s">
        <v>288</v>
      </c>
      <c r="L484" s="15">
        <v>-793600</v>
      </c>
      <c r="M484" s="15">
        <v>0</v>
      </c>
      <c r="N484" s="15">
        <v>-540652.51</v>
      </c>
      <c r="O484" s="15">
        <v>-252947.48999999996</v>
      </c>
      <c r="P484" s="15">
        <v>-252947.48999999996</v>
      </c>
      <c r="Q484" s="15">
        <f t="shared" si="29"/>
        <v>-252947.48999999996</v>
      </c>
      <c r="R484" s="15">
        <v>0</v>
      </c>
      <c r="S484" s="15">
        <f t="shared" si="30"/>
        <v>-252947.48999999996</v>
      </c>
      <c r="T484" s="16"/>
      <c r="U484" s="16"/>
    </row>
    <row r="485" spans="1:21" x14ac:dyDescent="0.25">
      <c r="A485" s="16" t="s">
        <v>37</v>
      </c>
      <c r="B485" s="16" t="s">
        <v>259</v>
      </c>
      <c r="C485" s="16" t="s">
        <v>260</v>
      </c>
      <c r="D485" s="16" t="s">
        <v>214</v>
      </c>
      <c r="E485" s="16" t="s">
        <v>218</v>
      </c>
      <c r="F485" s="16" t="s">
        <v>229</v>
      </c>
      <c r="G485" s="16" t="s">
        <v>217</v>
      </c>
      <c r="H485" s="16" t="s">
        <v>85</v>
      </c>
      <c r="I485" s="16" t="s">
        <v>40</v>
      </c>
      <c r="J485" s="16" t="s">
        <v>287</v>
      </c>
      <c r="K485" s="16" t="s">
        <v>288</v>
      </c>
      <c r="L485" s="15">
        <v>-348014.04979999986</v>
      </c>
      <c r="M485" s="15">
        <v>0</v>
      </c>
      <c r="N485" s="15">
        <v>-152055.27009792</v>
      </c>
      <c r="O485" s="15">
        <v>-195958.77970207989</v>
      </c>
      <c r="P485" s="15">
        <v>-195958.77970207989</v>
      </c>
      <c r="Q485" s="15">
        <f t="shared" si="29"/>
        <v>-195958.77970207989</v>
      </c>
      <c r="R485" s="15">
        <v>0</v>
      </c>
      <c r="S485" s="15">
        <f t="shared" si="30"/>
        <v>-195958.77970207989</v>
      </c>
      <c r="T485" s="16"/>
      <c r="U485" s="16"/>
    </row>
    <row r="486" spans="1:21" x14ac:dyDescent="0.25">
      <c r="A486" s="16" t="s">
        <v>37</v>
      </c>
      <c r="B486" s="16" t="s">
        <v>269</v>
      </c>
      <c r="C486" s="16" t="s">
        <v>270</v>
      </c>
      <c r="D486" s="16" t="s">
        <v>214</v>
      </c>
      <c r="E486" s="16" t="s">
        <v>218</v>
      </c>
      <c r="F486" s="16" t="s">
        <v>229</v>
      </c>
      <c r="G486" s="16" t="s">
        <v>217</v>
      </c>
      <c r="H486" s="16" t="s">
        <v>85</v>
      </c>
      <c r="I486" s="16" t="s">
        <v>40</v>
      </c>
      <c r="J486" s="16" t="s">
        <v>62</v>
      </c>
      <c r="K486" s="16" t="s">
        <v>63</v>
      </c>
      <c r="L486" s="15">
        <v>-1529.5229999999997</v>
      </c>
      <c r="M486" s="15">
        <v>-1529.5229999999997</v>
      </c>
      <c r="N486" s="15">
        <v>-1529.5199979300039</v>
      </c>
      <c r="O486" s="15">
        <v>-3.0020699958868136E-3</v>
      </c>
      <c r="P486" s="15">
        <v>0</v>
      </c>
      <c r="Q486" s="15">
        <f t="shared" si="29"/>
        <v>0</v>
      </c>
      <c r="R486" s="15">
        <v>0</v>
      </c>
      <c r="S486" s="15">
        <f t="shared" si="30"/>
        <v>0</v>
      </c>
      <c r="T486" s="16"/>
      <c r="U486" s="16"/>
    </row>
    <row r="487" spans="1:21" x14ac:dyDescent="0.25">
      <c r="A487" s="16" t="s">
        <v>37</v>
      </c>
      <c r="B487" s="16" t="s">
        <v>271</v>
      </c>
      <c r="C487" s="16" t="s">
        <v>272</v>
      </c>
      <c r="D487" s="16" t="s">
        <v>214</v>
      </c>
      <c r="E487" s="16" t="s">
        <v>218</v>
      </c>
      <c r="F487" s="16" t="s">
        <v>229</v>
      </c>
      <c r="G487" s="16" t="s">
        <v>217</v>
      </c>
      <c r="H487" s="16" t="s">
        <v>85</v>
      </c>
      <c r="I487" s="16" t="s">
        <v>40</v>
      </c>
      <c r="J487" s="16" t="s">
        <v>77</v>
      </c>
      <c r="K487" s="16" t="s">
        <v>78</v>
      </c>
      <c r="L487" s="15">
        <v>-3773000</v>
      </c>
      <c r="M487" s="15">
        <v>0</v>
      </c>
      <c r="N487" s="15">
        <v>-3537629.9599999995</v>
      </c>
      <c r="O487" s="15">
        <v>-235370.04000000079</v>
      </c>
      <c r="P487" s="15">
        <v>-235370.04000000079</v>
      </c>
      <c r="Q487" s="15">
        <f t="shared" si="29"/>
        <v>-235370.04000000079</v>
      </c>
      <c r="R487" s="15">
        <v>0</v>
      </c>
      <c r="S487" s="15">
        <f t="shared" si="30"/>
        <v>-235370.04000000079</v>
      </c>
      <c r="T487" s="16"/>
      <c r="U487" s="16"/>
    </row>
    <row r="488" spans="1:21" x14ac:dyDescent="0.25">
      <c r="A488" s="16" t="s">
        <v>37</v>
      </c>
      <c r="B488" s="16" t="s">
        <v>271</v>
      </c>
      <c r="C488" s="16" t="s">
        <v>272</v>
      </c>
      <c r="D488" s="16" t="s">
        <v>214</v>
      </c>
      <c r="E488" s="16" t="s">
        <v>218</v>
      </c>
      <c r="F488" s="16" t="s">
        <v>229</v>
      </c>
      <c r="G488" s="16" t="s">
        <v>217</v>
      </c>
      <c r="H488" s="16" t="s">
        <v>85</v>
      </c>
      <c r="I488" s="16" t="s">
        <v>40</v>
      </c>
      <c r="J488" s="16" t="s">
        <v>79</v>
      </c>
      <c r="K488" s="16" t="s">
        <v>80</v>
      </c>
      <c r="L488" s="15">
        <v>-395999.99998999992</v>
      </c>
      <c r="M488" s="15">
        <v>0</v>
      </c>
      <c r="N488" s="15">
        <v>-196000</v>
      </c>
      <c r="O488" s="15">
        <v>-199999.99998999992</v>
      </c>
      <c r="P488" s="15">
        <v>-199999.99998999992</v>
      </c>
      <c r="Q488" s="15">
        <f t="shared" si="29"/>
        <v>-199999.99998999992</v>
      </c>
      <c r="R488" s="15">
        <v>0</v>
      </c>
      <c r="S488" s="15">
        <f t="shared" si="30"/>
        <v>-199999.99998999992</v>
      </c>
      <c r="T488" s="16"/>
      <c r="U488" s="16"/>
    </row>
    <row r="489" spans="1:21" x14ac:dyDescent="0.25">
      <c r="A489" s="16" t="s">
        <v>37</v>
      </c>
      <c r="B489" s="16" t="s">
        <v>259</v>
      </c>
      <c r="C489" s="16" t="s">
        <v>260</v>
      </c>
      <c r="D489" s="16" t="s">
        <v>214</v>
      </c>
      <c r="E489" s="16" t="s">
        <v>218</v>
      </c>
      <c r="F489" s="16" t="s">
        <v>229</v>
      </c>
      <c r="G489" s="16" t="s">
        <v>217</v>
      </c>
      <c r="H489" s="16" t="s">
        <v>85</v>
      </c>
      <c r="I489" s="16" t="s">
        <v>40</v>
      </c>
      <c r="J489" s="16" t="s">
        <v>79</v>
      </c>
      <c r="K489" s="16" t="s">
        <v>80</v>
      </c>
      <c r="L489" s="15">
        <v>-1193000.0001999999</v>
      </c>
      <c r="M489" s="15">
        <v>0</v>
      </c>
      <c r="N489" s="15">
        <v>-1193000.0001958399</v>
      </c>
      <c r="O489" s="15">
        <v>-4.1598686948418617E-6</v>
      </c>
      <c r="P489" s="15">
        <v>-4.1598686948418617E-6</v>
      </c>
      <c r="Q489" s="15">
        <f t="shared" si="29"/>
        <v>-4.1598686948418617E-6</v>
      </c>
      <c r="R489" s="15">
        <v>0</v>
      </c>
      <c r="S489" s="15">
        <f t="shared" si="30"/>
        <v>-4.1598686948418617E-6</v>
      </c>
      <c r="T489" s="16"/>
      <c r="U489" s="16"/>
    </row>
    <row r="490" spans="1:21" x14ac:dyDescent="0.25">
      <c r="A490" s="28" t="s">
        <v>37</v>
      </c>
      <c r="B490" s="28" t="s">
        <v>269</v>
      </c>
      <c r="C490" s="28" t="s">
        <v>270</v>
      </c>
      <c r="D490" s="28" t="s">
        <v>214</v>
      </c>
      <c r="E490" s="28" t="s">
        <v>218</v>
      </c>
      <c r="F490" s="28" t="s">
        <v>230</v>
      </c>
      <c r="G490" s="28" t="s">
        <v>231</v>
      </c>
      <c r="H490" s="28" t="s">
        <v>85</v>
      </c>
      <c r="I490" s="28" t="s">
        <v>40</v>
      </c>
      <c r="J490" s="28" t="s">
        <v>38</v>
      </c>
      <c r="K490" s="28" t="s">
        <v>293</v>
      </c>
      <c r="L490" s="29">
        <v>-12744.789144154589</v>
      </c>
      <c r="M490" s="29">
        <v>0</v>
      </c>
      <c r="N490" s="29">
        <v>-3910.6746915676777</v>
      </c>
      <c r="O490" s="29">
        <v>-8834.1144525869113</v>
      </c>
      <c r="P490" s="29">
        <v>-8834.1144525869113</v>
      </c>
      <c r="Q490" s="29">
        <f>P490+8834</f>
        <v>-0.11445258691128402</v>
      </c>
      <c r="R490" s="15">
        <v>0</v>
      </c>
      <c r="S490" s="15">
        <f t="shared" si="30"/>
        <v>-0.11445258691128402</v>
      </c>
      <c r="T490" s="16"/>
      <c r="U490" s="16"/>
    </row>
    <row r="491" spans="1:21" x14ac:dyDescent="0.25">
      <c r="A491" s="16" t="s">
        <v>37</v>
      </c>
      <c r="B491" s="16" t="s">
        <v>257</v>
      </c>
      <c r="C491" s="16" t="s">
        <v>258</v>
      </c>
      <c r="D491" s="16" t="s">
        <v>214</v>
      </c>
      <c r="E491" s="16" t="s">
        <v>218</v>
      </c>
      <c r="F491" s="16" t="s">
        <v>230</v>
      </c>
      <c r="G491" s="16" t="s">
        <v>231</v>
      </c>
      <c r="H491" s="16" t="s">
        <v>85</v>
      </c>
      <c r="I491" s="16" t="s">
        <v>40</v>
      </c>
      <c r="J491" s="16" t="s">
        <v>38</v>
      </c>
      <c r="K491" s="16" t="s">
        <v>293</v>
      </c>
      <c r="L491" s="15">
        <v>-5100466.1356400242</v>
      </c>
      <c r="M491" s="15">
        <v>-14955.6</v>
      </c>
      <c r="N491" s="15">
        <v>-5094875.981673494</v>
      </c>
      <c r="O491" s="15">
        <v>-5590.1539665297605</v>
      </c>
      <c r="P491" s="15">
        <v>-5590.1539665297605</v>
      </c>
      <c r="Q491" s="15">
        <f>P491+P490</f>
        <v>-14424.268419116672</v>
      </c>
      <c r="R491" s="15">
        <v>0</v>
      </c>
      <c r="S491" s="15">
        <f t="shared" si="30"/>
        <v>-14424.268419116672</v>
      </c>
      <c r="T491" s="16"/>
      <c r="U491" s="26"/>
    </row>
    <row r="492" spans="1:21" x14ac:dyDescent="0.25">
      <c r="A492" s="16" t="s">
        <v>37</v>
      </c>
      <c r="B492" s="16" t="s">
        <v>257</v>
      </c>
      <c r="C492" s="16" t="s">
        <v>258</v>
      </c>
      <c r="D492" s="16" t="s">
        <v>214</v>
      </c>
      <c r="E492" s="16" t="s">
        <v>218</v>
      </c>
      <c r="F492" s="16" t="s">
        <v>230</v>
      </c>
      <c r="G492" s="16" t="s">
        <v>231</v>
      </c>
      <c r="H492" s="16" t="s">
        <v>85</v>
      </c>
      <c r="I492" s="16" t="s">
        <v>40</v>
      </c>
      <c r="J492" s="16" t="s">
        <v>296</v>
      </c>
      <c r="K492" s="16" t="s">
        <v>297</v>
      </c>
      <c r="L492" s="15">
        <v>-86813.599935200007</v>
      </c>
      <c r="M492" s="15">
        <v>0</v>
      </c>
      <c r="N492" s="15">
        <v>-64897.9928</v>
      </c>
      <c r="O492" s="15">
        <v>-21915.607135200011</v>
      </c>
      <c r="P492" s="15">
        <v>-21915.607135200011</v>
      </c>
      <c r="Q492" s="15">
        <f t="shared" si="29"/>
        <v>-21915.607135200011</v>
      </c>
      <c r="R492" s="15">
        <v>0</v>
      </c>
      <c r="S492" s="15">
        <f t="shared" si="30"/>
        <v>-21915.607135200011</v>
      </c>
      <c r="T492" s="16"/>
      <c r="U492" s="26"/>
    </row>
    <row r="493" spans="1:21" x14ac:dyDescent="0.25">
      <c r="A493" s="16" t="s">
        <v>37</v>
      </c>
      <c r="B493" s="16" t="s">
        <v>257</v>
      </c>
      <c r="C493" s="16" t="s">
        <v>258</v>
      </c>
      <c r="D493" s="16" t="s">
        <v>214</v>
      </c>
      <c r="E493" s="16" t="s">
        <v>218</v>
      </c>
      <c r="F493" s="16" t="s">
        <v>230</v>
      </c>
      <c r="G493" s="16" t="s">
        <v>231</v>
      </c>
      <c r="H493" s="16" t="s">
        <v>85</v>
      </c>
      <c r="I493" s="16" t="s">
        <v>40</v>
      </c>
      <c r="J493" s="16" t="s">
        <v>298</v>
      </c>
      <c r="K493" s="16" t="s">
        <v>299</v>
      </c>
      <c r="L493" s="15">
        <v>-78.741935483870961</v>
      </c>
      <c r="M493" s="15">
        <v>0</v>
      </c>
      <c r="N493" s="15">
        <v>-28.789178474800003</v>
      </c>
      <c r="O493" s="15">
        <v>-49.95275700907095</v>
      </c>
      <c r="P493" s="15">
        <v>-49.95275700907095</v>
      </c>
      <c r="Q493" s="15">
        <f t="shared" si="29"/>
        <v>-49.95275700907095</v>
      </c>
      <c r="R493" s="15">
        <v>0</v>
      </c>
      <c r="S493" s="15">
        <f t="shared" si="30"/>
        <v>-49.95275700907095</v>
      </c>
      <c r="T493" s="16"/>
      <c r="U493" s="26"/>
    </row>
    <row r="494" spans="1:21" x14ac:dyDescent="0.25">
      <c r="A494" s="16" t="s">
        <v>37</v>
      </c>
      <c r="B494" s="16" t="s">
        <v>269</v>
      </c>
      <c r="C494" s="16" t="s">
        <v>270</v>
      </c>
      <c r="D494" s="16" t="s">
        <v>214</v>
      </c>
      <c r="E494" s="16" t="s">
        <v>218</v>
      </c>
      <c r="F494" s="16" t="s">
        <v>230</v>
      </c>
      <c r="G494" s="16" t="s">
        <v>231</v>
      </c>
      <c r="H494" s="16" t="s">
        <v>85</v>
      </c>
      <c r="I494" s="16" t="s">
        <v>40</v>
      </c>
      <c r="J494" s="16" t="s">
        <v>62</v>
      </c>
      <c r="K494" s="16" t="s">
        <v>63</v>
      </c>
      <c r="L494" s="15">
        <v>-1669.9139999999995</v>
      </c>
      <c r="M494" s="15">
        <v>-1669.9139999999995</v>
      </c>
      <c r="N494" s="15">
        <v>-1669.9099977400056</v>
      </c>
      <c r="O494" s="15">
        <v>-4.0022599940527925E-3</v>
      </c>
      <c r="P494" s="15">
        <v>0</v>
      </c>
      <c r="Q494" s="15">
        <f t="shared" si="29"/>
        <v>0</v>
      </c>
      <c r="R494" s="15">
        <v>0</v>
      </c>
      <c r="S494" s="15">
        <f t="shared" si="30"/>
        <v>0</v>
      </c>
      <c r="T494" s="16"/>
      <c r="U494" s="16"/>
    </row>
    <row r="495" spans="1:21" x14ac:dyDescent="0.25">
      <c r="A495" s="16" t="s">
        <v>37</v>
      </c>
      <c r="B495" s="16" t="s">
        <v>259</v>
      </c>
      <c r="C495" s="16" t="s">
        <v>260</v>
      </c>
      <c r="D495" s="16" t="s">
        <v>214</v>
      </c>
      <c r="E495" s="16" t="s">
        <v>218</v>
      </c>
      <c r="F495" s="16" t="s">
        <v>232</v>
      </c>
      <c r="G495" s="16" t="s">
        <v>233</v>
      </c>
      <c r="H495" s="16" t="s">
        <v>85</v>
      </c>
      <c r="I495" s="16" t="s">
        <v>40</v>
      </c>
      <c r="J495" s="16" t="s">
        <v>38</v>
      </c>
      <c r="K495" s="16" t="s">
        <v>293</v>
      </c>
      <c r="L495" s="15">
        <v>-24447993.793295871</v>
      </c>
      <c r="M495" s="15">
        <v>0</v>
      </c>
      <c r="N495" s="15">
        <v>-23342987.15313419</v>
      </c>
      <c r="O495" s="15">
        <v>-1105006.6401616763</v>
      </c>
      <c r="P495" s="15">
        <v>-1105006.6401616763</v>
      </c>
      <c r="Q495" s="15">
        <f t="shared" ref="Q495" si="32">P495</f>
        <v>-1105006.6401616763</v>
      </c>
      <c r="R495" s="15">
        <v>0</v>
      </c>
      <c r="S495" s="15">
        <f t="shared" si="30"/>
        <v>-1105006.6401616763</v>
      </c>
      <c r="T495" s="16"/>
      <c r="U495" s="16"/>
    </row>
    <row r="496" spans="1:21" x14ac:dyDescent="0.25">
      <c r="A496" s="28" t="s">
        <v>37</v>
      </c>
      <c r="B496" s="28" t="s">
        <v>269</v>
      </c>
      <c r="C496" s="28" t="s">
        <v>270</v>
      </c>
      <c r="D496" s="28" t="s">
        <v>214</v>
      </c>
      <c r="E496" s="28" t="s">
        <v>218</v>
      </c>
      <c r="F496" s="28" t="s">
        <v>232</v>
      </c>
      <c r="G496" s="28" t="s">
        <v>233</v>
      </c>
      <c r="H496" s="28" t="s">
        <v>85</v>
      </c>
      <c r="I496" s="28" t="s">
        <v>40</v>
      </c>
      <c r="J496" s="28" t="s">
        <v>38</v>
      </c>
      <c r="K496" s="28" t="s">
        <v>293</v>
      </c>
      <c r="L496" s="29">
        <v>-30705.219013653092</v>
      </c>
      <c r="M496" s="29">
        <v>0</v>
      </c>
      <c r="N496" s="29">
        <v>-6882.1043698767435</v>
      </c>
      <c r="O496" s="29">
        <v>-23823.114643776353</v>
      </c>
      <c r="P496" s="29">
        <v>-23823.114643776353</v>
      </c>
      <c r="Q496" s="29">
        <f>P496+23823</f>
        <v>-0.11464377635275014</v>
      </c>
      <c r="R496" s="15">
        <v>0</v>
      </c>
      <c r="S496" s="15">
        <f t="shared" si="30"/>
        <v>-0.11464377635275014</v>
      </c>
      <c r="T496" s="16"/>
      <c r="U496" s="16"/>
    </row>
    <row r="497" spans="1:21" x14ac:dyDescent="0.25">
      <c r="A497" s="16" t="s">
        <v>37</v>
      </c>
      <c r="B497" s="16" t="s">
        <v>257</v>
      </c>
      <c r="C497" s="16" t="s">
        <v>258</v>
      </c>
      <c r="D497" s="16" t="s">
        <v>214</v>
      </c>
      <c r="E497" s="16" t="s">
        <v>218</v>
      </c>
      <c r="F497" s="16" t="s">
        <v>232</v>
      </c>
      <c r="G497" s="16" t="s">
        <v>233</v>
      </c>
      <c r="H497" s="16" t="s">
        <v>85</v>
      </c>
      <c r="I497" s="16" t="s">
        <v>40</v>
      </c>
      <c r="J497" s="16" t="s">
        <v>38</v>
      </c>
      <c r="K497" s="16" t="s">
        <v>293</v>
      </c>
      <c r="L497" s="15">
        <v>-136859.45761489525</v>
      </c>
      <c r="M497" s="15">
        <v>-50552.4</v>
      </c>
      <c r="N497" s="15">
        <v>-37827.462656574193</v>
      </c>
      <c r="O497" s="15">
        <v>-99031.99495832104</v>
      </c>
      <c r="P497" s="15">
        <f>O497</f>
        <v>-99031.99495832104</v>
      </c>
      <c r="Q497" s="15">
        <f>P497+P496</f>
        <v>-122855.10960209739</v>
      </c>
      <c r="R497" s="15">
        <v>0</v>
      </c>
      <c r="S497" s="15">
        <f t="shared" si="30"/>
        <v>-122855.10960209739</v>
      </c>
      <c r="T497" s="16"/>
      <c r="U497" s="26"/>
    </row>
    <row r="498" spans="1:21" x14ac:dyDescent="0.25">
      <c r="A498" s="16" t="s">
        <v>37</v>
      </c>
      <c r="B498" s="16" t="s">
        <v>257</v>
      </c>
      <c r="C498" s="16" t="s">
        <v>258</v>
      </c>
      <c r="D498" s="16" t="s">
        <v>214</v>
      </c>
      <c r="E498" s="16" t="s">
        <v>218</v>
      </c>
      <c r="F498" s="16" t="s">
        <v>232</v>
      </c>
      <c r="G498" s="16" t="s">
        <v>233</v>
      </c>
      <c r="H498" s="16" t="s">
        <v>85</v>
      </c>
      <c r="I498" s="16" t="s">
        <v>40</v>
      </c>
      <c r="J498" s="16" t="s">
        <v>234</v>
      </c>
      <c r="K498" s="16" t="s">
        <v>235</v>
      </c>
      <c r="L498" s="15">
        <v>-4506619.9999900004</v>
      </c>
      <c r="M498" s="15">
        <v>0</v>
      </c>
      <c r="N498" s="15">
        <v>-4506620.0000000009</v>
      </c>
      <c r="O498" s="15">
        <v>1.0001007467508316E-5</v>
      </c>
      <c r="P498" s="15">
        <v>0</v>
      </c>
      <c r="Q498" s="15">
        <f t="shared" si="29"/>
        <v>0</v>
      </c>
      <c r="R498" s="15">
        <v>0</v>
      </c>
      <c r="S498" s="15">
        <f t="shared" si="30"/>
        <v>0</v>
      </c>
      <c r="T498" s="16"/>
      <c r="U498" s="26"/>
    </row>
    <row r="499" spans="1:21" x14ac:dyDescent="0.25">
      <c r="A499" s="16" t="s">
        <v>37</v>
      </c>
      <c r="B499" s="16" t="s">
        <v>257</v>
      </c>
      <c r="C499" s="16" t="s">
        <v>258</v>
      </c>
      <c r="D499" s="16" t="s">
        <v>214</v>
      </c>
      <c r="E499" s="16" t="s">
        <v>218</v>
      </c>
      <c r="F499" s="16" t="s">
        <v>232</v>
      </c>
      <c r="G499" s="16" t="s">
        <v>233</v>
      </c>
      <c r="H499" s="16" t="s">
        <v>85</v>
      </c>
      <c r="I499" s="16" t="s">
        <v>40</v>
      </c>
      <c r="J499" s="16" t="s">
        <v>236</v>
      </c>
      <c r="K499" s="16" t="s">
        <v>237</v>
      </c>
      <c r="L499" s="15">
        <v>-700000</v>
      </c>
      <c r="M499" s="15">
        <v>0</v>
      </c>
      <c r="N499" s="15">
        <v>-153132.4</v>
      </c>
      <c r="O499" s="15">
        <v>-546867.6</v>
      </c>
      <c r="P499" s="15">
        <v>-546867.6</v>
      </c>
      <c r="Q499" s="15">
        <f t="shared" si="29"/>
        <v>-546867.6</v>
      </c>
      <c r="R499" s="15">
        <v>0</v>
      </c>
      <c r="S499" s="15">
        <f t="shared" si="30"/>
        <v>-546867.6</v>
      </c>
      <c r="T499" s="16"/>
      <c r="U499" s="26"/>
    </row>
    <row r="500" spans="1:21" x14ac:dyDescent="0.25">
      <c r="A500" s="16" t="s">
        <v>37</v>
      </c>
      <c r="B500" s="16" t="s">
        <v>257</v>
      </c>
      <c r="C500" s="16" t="s">
        <v>258</v>
      </c>
      <c r="D500" s="16" t="s">
        <v>214</v>
      </c>
      <c r="E500" s="16" t="s">
        <v>218</v>
      </c>
      <c r="F500" s="16" t="s">
        <v>232</v>
      </c>
      <c r="G500" s="16" t="s">
        <v>233</v>
      </c>
      <c r="H500" s="16" t="s">
        <v>85</v>
      </c>
      <c r="I500" s="16" t="s">
        <v>40</v>
      </c>
      <c r="J500" s="16" t="s">
        <v>296</v>
      </c>
      <c r="K500" s="16" t="s">
        <v>297</v>
      </c>
      <c r="L500" s="15">
        <v>-54258.499959500012</v>
      </c>
      <c r="M500" s="15">
        <v>0</v>
      </c>
      <c r="N500" s="15">
        <v>-40561.245499999997</v>
      </c>
      <c r="O500" s="15">
        <v>-13697.254459500014</v>
      </c>
      <c r="P500" s="15">
        <v>-13697.254459500014</v>
      </c>
      <c r="Q500" s="15">
        <f t="shared" si="29"/>
        <v>-13697.254459500014</v>
      </c>
      <c r="R500" s="15">
        <v>0</v>
      </c>
      <c r="S500" s="15">
        <f t="shared" si="30"/>
        <v>-13697.254459500014</v>
      </c>
      <c r="T500" s="16"/>
      <c r="U500" s="26"/>
    </row>
    <row r="501" spans="1:21" x14ac:dyDescent="0.25">
      <c r="A501" s="16" t="s">
        <v>37</v>
      </c>
      <c r="B501" s="16" t="s">
        <v>259</v>
      </c>
      <c r="C501" s="16" t="s">
        <v>260</v>
      </c>
      <c r="D501" s="16" t="s">
        <v>214</v>
      </c>
      <c r="E501" s="16" t="s">
        <v>218</v>
      </c>
      <c r="F501" s="16" t="s">
        <v>232</v>
      </c>
      <c r="G501" s="16" t="s">
        <v>233</v>
      </c>
      <c r="H501" s="16" t="s">
        <v>85</v>
      </c>
      <c r="I501" s="16" t="s">
        <v>40</v>
      </c>
      <c r="J501" s="16" t="s">
        <v>124</v>
      </c>
      <c r="K501" s="16" t="s">
        <v>125</v>
      </c>
      <c r="L501" s="15">
        <v>-14011.732042559999</v>
      </c>
      <c r="M501" s="15">
        <v>0</v>
      </c>
      <c r="N501" s="15">
        <v>-13716.133920533637</v>
      </c>
      <c r="O501" s="15">
        <v>-295.59812202636112</v>
      </c>
      <c r="P501" s="15">
        <v>0</v>
      </c>
      <c r="Q501" s="15">
        <f t="shared" si="29"/>
        <v>0</v>
      </c>
      <c r="R501" s="15">
        <v>0</v>
      </c>
      <c r="S501" s="15">
        <f t="shared" si="30"/>
        <v>0</v>
      </c>
      <c r="T501" s="16"/>
      <c r="U501" s="16"/>
    </row>
    <row r="502" spans="1:21" x14ac:dyDescent="0.25">
      <c r="A502" s="16" t="s">
        <v>37</v>
      </c>
      <c r="B502" s="16" t="s">
        <v>257</v>
      </c>
      <c r="C502" s="16" t="s">
        <v>258</v>
      </c>
      <c r="D502" s="16" t="s">
        <v>214</v>
      </c>
      <c r="E502" s="16" t="s">
        <v>218</v>
      </c>
      <c r="F502" s="16" t="s">
        <v>232</v>
      </c>
      <c r="G502" s="16" t="s">
        <v>233</v>
      </c>
      <c r="H502" s="16" t="s">
        <v>85</v>
      </c>
      <c r="I502" s="16" t="s">
        <v>40</v>
      </c>
      <c r="J502" s="16" t="s">
        <v>298</v>
      </c>
      <c r="K502" s="16" t="s">
        <v>299</v>
      </c>
      <c r="L502" s="15">
        <v>-78.741935483870961</v>
      </c>
      <c r="M502" s="15">
        <v>0</v>
      </c>
      <c r="N502" s="15">
        <v>-28.9645048348</v>
      </c>
      <c r="O502" s="15">
        <v>-49.777430649070965</v>
      </c>
      <c r="P502" s="15">
        <v>-49.777430649070965</v>
      </c>
      <c r="Q502" s="15">
        <f t="shared" si="29"/>
        <v>-49.777430649070965</v>
      </c>
      <c r="R502" s="15">
        <v>0</v>
      </c>
      <c r="S502" s="15">
        <f t="shared" si="30"/>
        <v>-49.777430649070965</v>
      </c>
      <c r="T502" s="16"/>
      <c r="U502" s="26"/>
    </row>
    <row r="503" spans="1:21" x14ac:dyDescent="0.25">
      <c r="A503" s="16" t="s">
        <v>37</v>
      </c>
      <c r="B503" s="16" t="s">
        <v>257</v>
      </c>
      <c r="C503" s="16" t="s">
        <v>258</v>
      </c>
      <c r="D503" s="16" t="s">
        <v>214</v>
      </c>
      <c r="E503" s="16" t="s">
        <v>218</v>
      </c>
      <c r="F503" s="16" t="s">
        <v>232</v>
      </c>
      <c r="G503" s="16" t="s">
        <v>233</v>
      </c>
      <c r="H503" s="16" t="s">
        <v>85</v>
      </c>
      <c r="I503" s="16" t="s">
        <v>40</v>
      </c>
      <c r="J503" s="16" t="s">
        <v>304</v>
      </c>
      <c r="K503" s="16" t="s">
        <v>305</v>
      </c>
      <c r="L503" s="15">
        <v>-3090923.16</v>
      </c>
      <c r="M503" s="15">
        <v>-3090923.16</v>
      </c>
      <c r="N503" s="15">
        <v>-2808077.7198999999</v>
      </c>
      <c r="O503" s="15">
        <v>-282845.44010000024</v>
      </c>
      <c r="P503" s="15">
        <f>O503</f>
        <v>-282845.44010000024</v>
      </c>
      <c r="Q503" s="15">
        <f t="shared" si="29"/>
        <v>-282845.44010000024</v>
      </c>
      <c r="R503" s="15">
        <v>0</v>
      </c>
      <c r="S503" s="15">
        <f t="shared" si="30"/>
        <v>-282845.44010000024</v>
      </c>
      <c r="T503" s="16"/>
      <c r="U503" s="26"/>
    </row>
    <row r="504" spans="1:21" x14ac:dyDescent="0.25">
      <c r="A504" s="16" t="s">
        <v>37</v>
      </c>
      <c r="B504" s="16" t="s">
        <v>269</v>
      </c>
      <c r="C504" s="16" t="s">
        <v>270</v>
      </c>
      <c r="D504" s="16" t="s">
        <v>214</v>
      </c>
      <c r="E504" s="16" t="s">
        <v>218</v>
      </c>
      <c r="F504" s="16" t="s">
        <v>232</v>
      </c>
      <c r="G504" s="16" t="s">
        <v>233</v>
      </c>
      <c r="H504" s="16" t="s">
        <v>85</v>
      </c>
      <c r="I504" s="16" t="s">
        <v>40</v>
      </c>
      <c r="J504" s="16" t="s">
        <v>62</v>
      </c>
      <c r="K504" s="16" t="s">
        <v>63</v>
      </c>
      <c r="L504" s="15">
        <v>-2297.9789999999998</v>
      </c>
      <c r="M504" s="15">
        <v>-2297.9789999999998</v>
      </c>
      <c r="N504" s="15">
        <v>-2297.9899968899849</v>
      </c>
      <c r="O504" s="15">
        <v>1.0996889985108282E-2</v>
      </c>
      <c r="P504" s="15">
        <v>0</v>
      </c>
      <c r="Q504" s="15">
        <f t="shared" si="29"/>
        <v>0</v>
      </c>
      <c r="R504" s="15">
        <v>0</v>
      </c>
      <c r="S504" s="15">
        <f t="shared" si="30"/>
        <v>0</v>
      </c>
      <c r="T504" s="16"/>
      <c r="U504" s="16"/>
    </row>
    <row r="505" spans="1:21" x14ac:dyDescent="0.25">
      <c r="A505" s="28" t="s">
        <v>37</v>
      </c>
      <c r="B505" s="28" t="s">
        <v>269</v>
      </c>
      <c r="C505" s="28" t="s">
        <v>270</v>
      </c>
      <c r="D505" s="28" t="s">
        <v>214</v>
      </c>
      <c r="E505" s="28" t="s">
        <v>218</v>
      </c>
      <c r="F505" s="28" t="s">
        <v>238</v>
      </c>
      <c r="G505" s="28" t="s">
        <v>239</v>
      </c>
      <c r="H505" s="28" t="s">
        <v>85</v>
      </c>
      <c r="I505" s="28" t="s">
        <v>40</v>
      </c>
      <c r="J505" s="28" t="s">
        <v>38</v>
      </c>
      <c r="K505" s="28" t="s">
        <v>293</v>
      </c>
      <c r="L505" s="29">
        <v>-14033.706608860088</v>
      </c>
      <c r="M505" s="29">
        <v>0</v>
      </c>
      <c r="N505" s="29">
        <v>-6677.1781851657734</v>
      </c>
      <c r="O505" s="29">
        <v>-7356.5284236943126</v>
      </c>
      <c r="P505" s="29">
        <v>-7356.5284236943126</v>
      </c>
      <c r="Q505" s="29">
        <f>P505+7357</f>
        <v>0.47157630568744935</v>
      </c>
      <c r="R505" s="15">
        <v>0</v>
      </c>
      <c r="S505" s="15">
        <f t="shared" si="30"/>
        <v>0.47157630568744935</v>
      </c>
      <c r="T505" s="16"/>
      <c r="U505" s="16"/>
    </row>
    <row r="506" spans="1:21" x14ac:dyDescent="0.25">
      <c r="A506" s="16" t="s">
        <v>37</v>
      </c>
      <c r="B506" s="16" t="s">
        <v>257</v>
      </c>
      <c r="C506" s="16" t="s">
        <v>258</v>
      </c>
      <c r="D506" s="16" t="s">
        <v>214</v>
      </c>
      <c r="E506" s="16" t="s">
        <v>218</v>
      </c>
      <c r="F506" s="16" t="s">
        <v>238</v>
      </c>
      <c r="G506" s="16" t="s">
        <v>239</v>
      </c>
      <c r="H506" s="16" t="s">
        <v>85</v>
      </c>
      <c r="I506" s="16" t="s">
        <v>40</v>
      </c>
      <c r="J506" s="16" t="s">
        <v>38</v>
      </c>
      <c r="K506" s="16" t="s">
        <v>293</v>
      </c>
      <c r="L506" s="15">
        <v>-133684.56495063478</v>
      </c>
      <c r="M506" s="15">
        <v>-44619.6</v>
      </c>
      <c r="N506" s="15">
        <v>-138395.71812751418</v>
      </c>
      <c r="O506" s="15">
        <v>4711.1531768794157</v>
      </c>
      <c r="P506" s="15">
        <f>O506</f>
        <v>4711.1531768794157</v>
      </c>
      <c r="Q506" s="15">
        <f>P506+P505</f>
        <v>-2645.3752468148969</v>
      </c>
      <c r="R506" s="15">
        <v>0</v>
      </c>
      <c r="S506" s="15">
        <f t="shared" si="30"/>
        <v>-2645.3752468148969</v>
      </c>
      <c r="T506" s="16"/>
      <c r="U506" s="26"/>
    </row>
    <row r="507" spans="1:21" x14ac:dyDescent="0.25">
      <c r="A507" s="16" t="s">
        <v>37</v>
      </c>
      <c r="B507" s="16" t="s">
        <v>257</v>
      </c>
      <c r="C507" s="16" t="s">
        <v>258</v>
      </c>
      <c r="D507" s="16" t="s">
        <v>214</v>
      </c>
      <c r="E507" s="16" t="s">
        <v>218</v>
      </c>
      <c r="F507" s="16" t="s">
        <v>238</v>
      </c>
      <c r="G507" s="16" t="s">
        <v>239</v>
      </c>
      <c r="H507" s="16" t="s">
        <v>85</v>
      </c>
      <c r="I507" s="16" t="s">
        <v>40</v>
      </c>
      <c r="J507" s="16" t="s">
        <v>298</v>
      </c>
      <c r="K507" s="16" t="s">
        <v>299</v>
      </c>
      <c r="L507" s="15">
        <v>-78.741935483870961</v>
      </c>
      <c r="M507" s="15">
        <v>0</v>
      </c>
      <c r="N507" s="15">
        <v>-24.639787954799999</v>
      </c>
      <c r="O507" s="15">
        <v>-54.102147529070962</v>
      </c>
      <c r="P507" s="15">
        <v>-54.102147529070962</v>
      </c>
      <c r="Q507" s="15">
        <f t="shared" si="29"/>
        <v>-54.102147529070962</v>
      </c>
      <c r="R507" s="15">
        <v>0</v>
      </c>
      <c r="S507" s="15">
        <f t="shared" si="30"/>
        <v>-54.102147529070962</v>
      </c>
      <c r="T507" s="16"/>
      <c r="U507" s="26"/>
    </row>
    <row r="508" spans="1:21" x14ac:dyDescent="0.25">
      <c r="A508" s="16" t="s">
        <v>37</v>
      </c>
      <c r="B508" s="16" t="s">
        <v>269</v>
      </c>
      <c r="C508" s="16" t="s">
        <v>270</v>
      </c>
      <c r="D508" s="16" t="s">
        <v>214</v>
      </c>
      <c r="E508" s="16" t="s">
        <v>218</v>
      </c>
      <c r="F508" s="16" t="s">
        <v>238</v>
      </c>
      <c r="G508" s="16" t="s">
        <v>239</v>
      </c>
      <c r="H508" s="16" t="s">
        <v>85</v>
      </c>
      <c r="I508" s="16" t="s">
        <v>40</v>
      </c>
      <c r="J508" s="16" t="s">
        <v>62</v>
      </c>
      <c r="K508" s="16" t="s">
        <v>63</v>
      </c>
      <c r="L508" s="15">
        <v>-1706.8589999999999</v>
      </c>
      <c r="M508" s="15">
        <v>-1706.8589999999999</v>
      </c>
      <c r="N508" s="15">
        <v>-1706.8599976899984</v>
      </c>
      <c r="O508" s="15">
        <v>9.9768999848492967E-4</v>
      </c>
      <c r="P508" s="15">
        <v>0</v>
      </c>
      <c r="Q508" s="15">
        <f t="shared" si="29"/>
        <v>0</v>
      </c>
      <c r="R508" s="15">
        <v>0</v>
      </c>
      <c r="S508" s="15">
        <f t="shared" si="30"/>
        <v>0</v>
      </c>
      <c r="T508" s="16"/>
      <c r="U508" s="16"/>
    </row>
    <row r="509" spans="1:21" x14ac:dyDescent="0.25">
      <c r="A509" s="16" t="s">
        <v>37</v>
      </c>
      <c r="B509" s="16" t="s">
        <v>259</v>
      </c>
      <c r="C509" s="16" t="s">
        <v>260</v>
      </c>
      <c r="D509" s="16" t="s">
        <v>214</v>
      </c>
      <c r="E509" s="16" t="s">
        <v>218</v>
      </c>
      <c r="F509" s="16" t="s">
        <v>240</v>
      </c>
      <c r="G509" s="16" t="s">
        <v>241</v>
      </c>
      <c r="H509" s="16" t="s">
        <v>85</v>
      </c>
      <c r="I509" s="16" t="s">
        <v>40</v>
      </c>
      <c r="J509" s="16" t="s">
        <v>38</v>
      </c>
      <c r="K509" s="16" t="s">
        <v>293</v>
      </c>
      <c r="L509" s="15">
        <v>-13090506.88347877</v>
      </c>
      <c r="M509" s="15">
        <v>0</v>
      </c>
      <c r="N509" s="15">
        <v>-13092916.718667392</v>
      </c>
      <c r="O509" s="15">
        <v>2409.8351886468008</v>
      </c>
      <c r="P509" s="15">
        <f>O509</f>
        <v>2409.8351886468008</v>
      </c>
      <c r="Q509" s="15">
        <f t="shared" ref="Q509" si="33">P509</f>
        <v>2409.8351886468008</v>
      </c>
      <c r="R509" s="15">
        <v>0</v>
      </c>
      <c r="S509" s="15">
        <f t="shared" si="30"/>
        <v>2409.8351886468008</v>
      </c>
      <c r="T509" s="16"/>
      <c r="U509" s="16"/>
    </row>
    <row r="510" spans="1:21" x14ac:dyDescent="0.25">
      <c r="A510" s="28" t="s">
        <v>37</v>
      </c>
      <c r="B510" s="28" t="s">
        <v>269</v>
      </c>
      <c r="C510" s="28" t="s">
        <v>270</v>
      </c>
      <c r="D510" s="28" t="s">
        <v>214</v>
      </c>
      <c r="E510" s="28" t="s">
        <v>218</v>
      </c>
      <c r="F510" s="28" t="s">
        <v>240</v>
      </c>
      <c r="G510" s="28" t="s">
        <v>241</v>
      </c>
      <c r="H510" s="28" t="s">
        <v>85</v>
      </c>
      <c r="I510" s="28" t="s">
        <v>40</v>
      </c>
      <c r="J510" s="28" t="s">
        <v>38</v>
      </c>
      <c r="K510" s="28" t="s">
        <v>293</v>
      </c>
      <c r="L510" s="29">
        <v>-88735.864445567277</v>
      </c>
      <c r="M510" s="29">
        <v>0</v>
      </c>
      <c r="N510" s="29">
        <v>-20475.541289037752</v>
      </c>
      <c r="O510" s="29">
        <v>-68260.323156529514</v>
      </c>
      <c r="P510" s="29">
        <v>-68260.323156529514</v>
      </c>
      <c r="Q510" s="29">
        <f>P510+68260</f>
        <v>-0.32315652951365337</v>
      </c>
      <c r="R510" s="15">
        <v>0</v>
      </c>
      <c r="S510" s="15">
        <f t="shared" si="30"/>
        <v>-0.32315652951365337</v>
      </c>
      <c r="T510" s="16"/>
      <c r="U510" s="16"/>
    </row>
    <row r="511" spans="1:21" x14ac:dyDescent="0.25">
      <c r="A511" s="16" t="s">
        <v>37</v>
      </c>
      <c r="B511" s="16" t="s">
        <v>257</v>
      </c>
      <c r="C511" s="16" t="s">
        <v>258</v>
      </c>
      <c r="D511" s="16" t="s">
        <v>214</v>
      </c>
      <c r="E511" s="16" t="s">
        <v>218</v>
      </c>
      <c r="F511" s="16" t="s">
        <v>240</v>
      </c>
      <c r="G511" s="16" t="s">
        <v>241</v>
      </c>
      <c r="H511" s="16" t="s">
        <v>85</v>
      </c>
      <c r="I511" s="16" t="s">
        <v>40</v>
      </c>
      <c r="J511" s="16" t="s">
        <v>38</v>
      </c>
      <c r="K511" s="16" t="s">
        <v>293</v>
      </c>
      <c r="L511" s="15">
        <v>-336607.88039521681</v>
      </c>
      <c r="M511" s="15">
        <v>-38439.599999999999</v>
      </c>
      <c r="N511" s="15">
        <v>-507511.85923715006</v>
      </c>
      <c r="O511" s="15">
        <v>170903.97884193313</v>
      </c>
      <c r="P511" s="15">
        <f>O511</f>
        <v>170903.97884193313</v>
      </c>
      <c r="Q511" s="15">
        <f>P511+P510</f>
        <v>102643.65568540362</v>
      </c>
      <c r="R511" s="15">
        <v>0</v>
      </c>
      <c r="S511" s="15">
        <f t="shared" si="30"/>
        <v>102643.65568540362</v>
      </c>
      <c r="T511" s="16"/>
      <c r="U511" s="26"/>
    </row>
    <row r="512" spans="1:21" x14ac:dyDescent="0.25">
      <c r="A512" s="16" t="s">
        <v>37</v>
      </c>
      <c r="B512" s="16" t="s">
        <v>257</v>
      </c>
      <c r="C512" s="16" t="s">
        <v>258</v>
      </c>
      <c r="D512" s="16" t="s">
        <v>214</v>
      </c>
      <c r="E512" s="16" t="s">
        <v>218</v>
      </c>
      <c r="F512" s="16" t="s">
        <v>240</v>
      </c>
      <c r="G512" s="16" t="s">
        <v>241</v>
      </c>
      <c r="H512" s="16" t="s">
        <v>85</v>
      </c>
      <c r="I512" s="16" t="s">
        <v>40</v>
      </c>
      <c r="J512" s="16" t="s">
        <v>296</v>
      </c>
      <c r="K512" s="16" t="s">
        <v>297</v>
      </c>
      <c r="L512" s="15">
        <v>-835580.89937630005</v>
      </c>
      <c r="M512" s="15">
        <v>0</v>
      </c>
      <c r="N512" s="15">
        <v>-624643.18070000003</v>
      </c>
      <c r="O512" s="15">
        <v>-210937.71867630002</v>
      </c>
      <c r="P512" s="15">
        <v>-210937.71867630002</v>
      </c>
      <c r="Q512" s="15">
        <f t="shared" si="29"/>
        <v>-210937.71867630002</v>
      </c>
      <c r="R512" s="15">
        <v>0</v>
      </c>
      <c r="S512" s="15">
        <f t="shared" si="30"/>
        <v>-210937.71867630002</v>
      </c>
      <c r="T512" s="16"/>
      <c r="U512" s="26"/>
    </row>
    <row r="513" spans="1:21" x14ac:dyDescent="0.25">
      <c r="A513" s="16" t="s">
        <v>37</v>
      </c>
      <c r="B513" s="16" t="s">
        <v>259</v>
      </c>
      <c r="C513" s="16" t="s">
        <v>260</v>
      </c>
      <c r="D513" s="16" t="s">
        <v>214</v>
      </c>
      <c r="E513" s="16" t="s">
        <v>218</v>
      </c>
      <c r="F513" s="16" t="s">
        <v>240</v>
      </c>
      <c r="G513" s="16" t="s">
        <v>241</v>
      </c>
      <c r="H513" s="16" t="s">
        <v>85</v>
      </c>
      <c r="I513" s="16" t="s">
        <v>40</v>
      </c>
      <c r="J513" s="16" t="s">
        <v>124</v>
      </c>
      <c r="K513" s="16" t="s">
        <v>125</v>
      </c>
      <c r="L513" s="15">
        <v>-29971.459079519998</v>
      </c>
      <c r="M513" s="15">
        <v>0</v>
      </c>
      <c r="N513" s="15">
        <v>-24973.061045146875</v>
      </c>
      <c r="O513" s="15">
        <v>-4998.3980343731328</v>
      </c>
      <c r="P513" s="15">
        <v>0</v>
      </c>
      <c r="Q513" s="15">
        <f t="shared" si="29"/>
        <v>0</v>
      </c>
      <c r="R513" s="15">
        <v>0</v>
      </c>
      <c r="S513" s="15">
        <f t="shared" si="30"/>
        <v>0</v>
      </c>
      <c r="T513" s="16"/>
      <c r="U513" s="16"/>
    </row>
    <row r="514" spans="1:21" x14ac:dyDescent="0.25">
      <c r="A514" s="16" t="s">
        <v>37</v>
      </c>
      <c r="B514" s="16" t="s">
        <v>257</v>
      </c>
      <c r="C514" s="16" t="s">
        <v>258</v>
      </c>
      <c r="D514" s="16" t="s">
        <v>214</v>
      </c>
      <c r="E514" s="16" t="s">
        <v>218</v>
      </c>
      <c r="F514" s="16" t="s">
        <v>240</v>
      </c>
      <c r="G514" s="16" t="s">
        <v>241</v>
      </c>
      <c r="H514" s="16" t="s">
        <v>85</v>
      </c>
      <c r="I514" s="16" t="s">
        <v>40</v>
      </c>
      <c r="J514" s="16" t="s">
        <v>298</v>
      </c>
      <c r="K514" s="16" t="s">
        <v>299</v>
      </c>
      <c r="L514" s="15">
        <v>0</v>
      </c>
      <c r="M514" s="15">
        <v>0</v>
      </c>
      <c r="N514" s="15">
        <v>23.055416340000001</v>
      </c>
      <c r="O514" s="15">
        <v>-23.055416340000001</v>
      </c>
      <c r="P514" s="15">
        <f>O514</f>
        <v>-23.055416340000001</v>
      </c>
      <c r="Q514" s="15">
        <f t="shared" si="29"/>
        <v>-23.055416340000001</v>
      </c>
      <c r="R514" s="15">
        <v>0</v>
      </c>
      <c r="S514" s="15">
        <f t="shared" si="30"/>
        <v>-23.055416340000001</v>
      </c>
      <c r="T514" s="16"/>
      <c r="U514" s="26"/>
    </row>
    <row r="515" spans="1:21" x14ac:dyDescent="0.25">
      <c r="A515" s="16" t="s">
        <v>37</v>
      </c>
      <c r="B515" s="16" t="s">
        <v>259</v>
      </c>
      <c r="C515" s="16" t="s">
        <v>260</v>
      </c>
      <c r="D515" s="16" t="s">
        <v>214</v>
      </c>
      <c r="E515" s="16" t="s">
        <v>218</v>
      </c>
      <c r="F515" s="16" t="s">
        <v>240</v>
      </c>
      <c r="G515" s="16" t="s">
        <v>241</v>
      </c>
      <c r="H515" s="16" t="s">
        <v>85</v>
      </c>
      <c r="I515" s="16" t="s">
        <v>40</v>
      </c>
      <c r="J515" s="16" t="s">
        <v>287</v>
      </c>
      <c r="K515" s="16" t="s">
        <v>288</v>
      </c>
      <c r="L515" s="15">
        <v>0</v>
      </c>
      <c r="M515" s="15">
        <v>0</v>
      </c>
      <c r="N515" s="15">
        <v>-9.2000016593374312E-5</v>
      </c>
      <c r="O515" s="15">
        <v>9.2000016593374312E-5</v>
      </c>
      <c r="P515" s="15">
        <v>0</v>
      </c>
      <c r="Q515" s="15">
        <f t="shared" si="29"/>
        <v>0</v>
      </c>
      <c r="R515" s="15">
        <v>0</v>
      </c>
      <c r="S515" s="15">
        <f t="shared" si="30"/>
        <v>0</v>
      </c>
      <c r="T515" s="16"/>
      <c r="U515" s="16"/>
    </row>
    <row r="516" spans="1:21" x14ac:dyDescent="0.25">
      <c r="A516" s="16" t="s">
        <v>37</v>
      </c>
      <c r="B516" s="16" t="s">
        <v>269</v>
      </c>
      <c r="C516" s="16" t="s">
        <v>270</v>
      </c>
      <c r="D516" s="16" t="s">
        <v>214</v>
      </c>
      <c r="E516" s="16" t="s">
        <v>218</v>
      </c>
      <c r="F516" s="16" t="s">
        <v>240</v>
      </c>
      <c r="G516" s="16" t="s">
        <v>241</v>
      </c>
      <c r="H516" s="16" t="s">
        <v>85</v>
      </c>
      <c r="I516" s="16" t="s">
        <v>40</v>
      </c>
      <c r="J516" s="16" t="s">
        <v>62</v>
      </c>
      <c r="K516" s="16" t="s">
        <v>63</v>
      </c>
      <c r="L516" s="15">
        <v>-4418.6220000000012</v>
      </c>
      <c r="M516" s="15">
        <v>-4418.6220000000012</v>
      </c>
      <c r="N516" s="15">
        <v>-4418.6199940200022</v>
      </c>
      <c r="O516" s="15">
        <v>-2.00597999855745E-3</v>
      </c>
      <c r="P516" s="15">
        <v>0</v>
      </c>
      <c r="Q516" s="15">
        <f t="shared" si="29"/>
        <v>0</v>
      </c>
      <c r="R516" s="15">
        <v>0</v>
      </c>
      <c r="S516" s="15">
        <f t="shared" si="30"/>
        <v>0</v>
      </c>
      <c r="T516" s="16"/>
      <c r="U516" s="16"/>
    </row>
    <row r="517" spans="1:21" x14ac:dyDescent="0.25">
      <c r="A517" s="16" t="s">
        <v>37</v>
      </c>
      <c r="B517" s="16" t="s">
        <v>259</v>
      </c>
      <c r="C517" s="16" t="s">
        <v>260</v>
      </c>
      <c r="D517" s="16" t="s">
        <v>214</v>
      </c>
      <c r="E517" s="16" t="s">
        <v>218</v>
      </c>
      <c r="F517" s="16" t="s">
        <v>240</v>
      </c>
      <c r="G517" s="16" t="s">
        <v>241</v>
      </c>
      <c r="H517" s="16" t="s">
        <v>85</v>
      </c>
      <c r="I517" s="16" t="s">
        <v>40</v>
      </c>
      <c r="J517" s="16" t="s">
        <v>79</v>
      </c>
      <c r="K517" s="16" t="s">
        <v>80</v>
      </c>
      <c r="L517" s="15">
        <v>0</v>
      </c>
      <c r="M517" s="15">
        <v>0</v>
      </c>
      <c r="N517" s="15">
        <v>9.9999975645914674E-5</v>
      </c>
      <c r="O517" s="15">
        <v>-9.9999975645914674E-5</v>
      </c>
      <c r="P517" s="15">
        <v>0</v>
      </c>
      <c r="Q517" s="15">
        <f t="shared" ref="Q517:Q523" si="34">P517-R517</f>
        <v>0</v>
      </c>
      <c r="R517" s="15">
        <v>0</v>
      </c>
      <c r="S517" s="15">
        <f t="shared" ref="S517:S523" si="35">SUM(Q517:R517)</f>
        <v>0</v>
      </c>
      <c r="T517" s="16"/>
      <c r="U517" s="16"/>
    </row>
    <row r="518" spans="1:21" x14ac:dyDescent="0.25">
      <c r="A518" s="16" t="s">
        <v>37</v>
      </c>
      <c r="B518" s="16" t="s">
        <v>259</v>
      </c>
      <c r="C518" s="16" t="s">
        <v>260</v>
      </c>
      <c r="D518" s="16" t="s">
        <v>214</v>
      </c>
      <c r="E518" s="16" t="s">
        <v>218</v>
      </c>
      <c r="F518" s="16" t="s">
        <v>242</v>
      </c>
      <c r="G518" s="16" t="s">
        <v>243</v>
      </c>
      <c r="H518" s="16" t="s">
        <v>85</v>
      </c>
      <c r="I518" s="16" t="s">
        <v>40</v>
      </c>
      <c r="J518" s="16" t="s">
        <v>38</v>
      </c>
      <c r="K518" s="16" t="s">
        <v>293</v>
      </c>
      <c r="L518" s="15">
        <v>-2092538.0586509956</v>
      </c>
      <c r="M518" s="15">
        <v>0</v>
      </c>
      <c r="N518" s="15">
        <v>-2092585.951246741</v>
      </c>
      <c r="O518" s="15">
        <v>47.892595745623112</v>
      </c>
      <c r="P518" s="15">
        <f>O518</f>
        <v>47.892595745623112</v>
      </c>
      <c r="Q518" s="15">
        <f t="shared" si="34"/>
        <v>47.892595745623112</v>
      </c>
      <c r="R518" s="15">
        <v>0</v>
      </c>
      <c r="S518" s="15">
        <f t="shared" si="35"/>
        <v>47.892595745623112</v>
      </c>
      <c r="T518" s="16"/>
      <c r="U518" s="16"/>
    </row>
    <row r="519" spans="1:21" x14ac:dyDescent="0.25">
      <c r="A519" s="28" t="s">
        <v>37</v>
      </c>
      <c r="B519" s="28" t="s">
        <v>269</v>
      </c>
      <c r="C519" s="28" t="s">
        <v>270</v>
      </c>
      <c r="D519" s="28" t="s">
        <v>214</v>
      </c>
      <c r="E519" s="28" t="s">
        <v>218</v>
      </c>
      <c r="F519" s="28" t="s">
        <v>242</v>
      </c>
      <c r="G519" s="28" t="s">
        <v>243</v>
      </c>
      <c r="H519" s="28" t="s">
        <v>85</v>
      </c>
      <c r="I519" s="28" t="s">
        <v>40</v>
      </c>
      <c r="J519" s="28" t="s">
        <v>38</v>
      </c>
      <c r="K519" s="28" t="s">
        <v>293</v>
      </c>
      <c r="L519" s="29">
        <v>-9263.4632755975017</v>
      </c>
      <c r="M519" s="29">
        <v>0</v>
      </c>
      <c r="N519" s="29">
        <v>-11783.255620880776</v>
      </c>
      <c r="O519" s="29">
        <v>2519.7923452832747</v>
      </c>
      <c r="P519" s="29">
        <f>O519</f>
        <v>2519.7923452832747</v>
      </c>
      <c r="Q519" s="29">
        <f>P519-R519-2520</f>
        <v>-0.20765471672530111</v>
      </c>
      <c r="R519" s="15">
        <v>0</v>
      </c>
      <c r="S519" s="15">
        <f t="shared" si="35"/>
        <v>-0.20765471672530111</v>
      </c>
      <c r="T519" s="16"/>
      <c r="U519" s="16"/>
    </row>
    <row r="520" spans="1:21" x14ac:dyDescent="0.25">
      <c r="A520" s="16" t="s">
        <v>37</v>
      </c>
      <c r="B520" s="16" t="s">
        <v>257</v>
      </c>
      <c r="C520" s="16" t="s">
        <v>258</v>
      </c>
      <c r="D520" s="16" t="s">
        <v>214</v>
      </c>
      <c r="E520" s="16" t="s">
        <v>218</v>
      </c>
      <c r="F520" s="16" t="s">
        <v>242</v>
      </c>
      <c r="G520" s="16" t="s">
        <v>243</v>
      </c>
      <c r="H520" s="16" t="s">
        <v>85</v>
      </c>
      <c r="I520" s="16" t="s">
        <v>40</v>
      </c>
      <c r="J520" s="16" t="s">
        <v>38</v>
      </c>
      <c r="K520" s="16" t="s">
        <v>293</v>
      </c>
      <c r="L520" s="15">
        <v>-234914.9875381671</v>
      </c>
      <c r="M520" s="15">
        <v>-67238.400000000009</v>
      </c>
      <c r="N520" s="15">
        <v>-176191.80162801995</v>
      </c>
      <c r="O520" s="15">
        <v>-58723.18591014712</v>
      </c>
      <c r="P520" s="15">
        <v>-58723.18591014712</v>
      </c>
      <c r="Q520" s="15">
        <f>P520-R520+P519</f>
        <v>-56203.393564863843</v>
      </c>
      <c r="R520" s="15">
        <v>0</v>
      </c>
      <c r="S520" s="15">
        <f t="shared" si="35"/>
        <v>-56203.393564863843</v>
      </c>
      <c r="T520" s="16"/>
      <c r="U520" s="26"/>
    </row>
    <row r="521" spans="1:21" x14ac:dyDescent="0.25">
      <c r="A521" s="16" t="s">
        <v>37</v>
      </c>
      <c r="B521" s="16" t="s">
        <v>259</v>
      </c>
      <c r="C521" s="16" t="s">
        <v>260</v>
      </c>
      <c r="D521" s="16" t="s">
        <v>214</v>
      </c>
      <c r="E521" s="16" t="s">
        <v>218</v>
      </c>
      <c r="F521" s="16" t="s">
        <v>242</v>
      </c>
      <c r="G521" s="16" t="s">
        <v>243</v>
      </c>
      <c r="H521" s="16" t="s">
        <v>85</v>
      </c>
      <c r="I521" s="16" t="s">
        <v>40</v>
      </c>
      <c r="J521" s="16" t="s">
        <v>124</v>
      </c>
      <c r="K521" s="16" t="s">
        <v>125</v>
      </c>
      <c r="L521" s="15">
        <v>-4044.29887792</v>
      </c>
      <c r="M521" s="15">
        <v>0</v>
      </c>
      <c r="N521" s="15">
        <v>-2791.575045953191</v>
      </c>
      <c r="O521" s="15">
        <v>-1252.7238319668088</v>
      </c>
      <c r="P521" s="15">
        <v>0</v>
      </c>
      <c r="Q521" s="15">
        <f t="shared" si="34"/>
        <v>0</v>
      </c>
      <c r="R521" s="15">
        <v>0</v>
      </c>
      <c r="S521" s="15">
        <f t="shared" si="35"/>
        <v>0</v>
      </c>
      <c r="T521" s="16"/>
      <c r="U521" s="16"/>
    </row>
    <row r="522" spans="1:21" x14ac:dyDescent="0.25">
      <c r="A522" s="16" t="s">
        <v>37</v>
      </c>
      <c r="B522" s="16" t="s">
        <v>257</v>
      </c>
      <c r="C522" s="16" t="s">
        <v>258</v>
      </c>
      <c r="D522" s="16" t="s">
        <v>214</v>
      </c>
      <c r="E522" s="16" t="s">
        <v>218</v>
      </c>
      <c r="F522" s="16" t="s">
        <v>242</v>
      </c>
      <c r="G522" s="16" t="s">
        <v>243</v>
      </c>
      <c r="H522" s="16" t="s">
        <v>85</v>
      </c>
      <c r="I522" s="16" t="s">
        <v>40</v>
      </c>
      <c r="J522" s="16" t="s">
        <v>298</v>
      </c>
      <c r="K522" s="16" t="s">
        <v>299</v>
      </c>
      <c r="L522" s="15">
        <v>0</v>
      </c>
      <c r="M522" s="15">
        <v>0</v>
      </c>
      <c r="N522" s="15">
        <v>8.9416443600000015</v>
      </c>
      <c r="O522" s="15">
        <v>-8.9416443600000015</v>
      </c>
      <c r="P522" s="15">
        <f>O522</f>
        <v>-8.9416443600000015</v>
      </c>
      <c r="Q522" s="15">
        <f t="shared" si="34"/>
        <v>-8.9416443600000015</v>
      </c>
      <c r="R522" s="15">
        <v>0</v>
      </c>
      <c r="S522" s="15">
        <f t="shared" si="35"/>
        <v>-8.9416443600000015</v>
      </c>
      <c r="T522" s="16"/>
      <c r="U522" s="26"/>
    </row>
    <row r="523" spans="1:21" x14ac:dyDescent="0.25">
      <c r="A523" s="16" t="s">
        <v>37</v>
      </c>
      <c r="B523" s="16" t="s">
        <v>269</v>
      </c>
      <c r="C523" s="16" t="s">
        <v>270</v>
      </c>
      <c r="D523" s="16" t="s">
        <v>214</v>
      </c>
      <c r="E523" s="16" t="s">
        <v>218</v>
      </c>
      <c r="F523" s="16" t="s">
        <v>242</v>
      </c>
      <c r="G523" s="16" t="s">
        <v>243</v>
      </c>
      <c r="H523" s="16" t="s">
        <v>85</v>
      </c>
      <c r="I523" s="16" t="s">
        <v>40</v>
      </c>
      <c r="J523" s="16" t="s">
        <v>62</v>
      </c>
      <c r="K523" s="16" t="s">
        <v>63</v>
      </c>
      <c r="L523" s="15">
        <v>-3546.7200000000003</v>
      </c>
      <c r="M523" s="15">
        <v>-3546.7200000000003</v>
      </c>
      <c r="N523" s="15">
        <v>-3546.7199951999992</v>
      </c>
      <c r="O523" s="15">
        <v>-4.8000003971537808E-6</v>
      </c>
      <c r="P523" s="15">
        <v>0</v>
      </c>
      <c r="Q523" s="15">
        <f t="shared" si="34"/>
        <v>0</v>
      </c>
      <c r="R523" s="15">
        <v>0</v>
      </c>
      <c r="S523" s="15">
        <f t="shared" si="35"/>
        <v>0</v>
      </c>
      <c r="T523" s="16"/>
      <c r="U523" s="16"/>
    </row>
  </sheetData>
  <autoFilter ref="A1:W523" xr:uid="{3C1F1C08-C4B2-4CCF-B56A-2022A76CEA3B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5</vt:i4>
      </vt:variant>
    </vt:vector>
  </HeadingPairs>
  <TitlesOfParts>
    <vt:vector size="5" baseType="lpstr">
      <vt:lpstr>VORM3_Aruanne II_KAIS_100724</vt:lpstr>
      <vt:lpstr>VORM3_Aruanne II asutustega</vt:lpstr>
      <vt:lpstr>RTK-le SAPi sisestamiseks</vt:lpstr>
      <vt:lpstr>VORM3_Aruanne II asutustega (3)</vt:lpstr>
      <vt:lpstr>VORM3_Aruanne II asutustega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Ylekantavate käskkirja lisa 1_2023-2024_vorm 3_juuli_lõplik</dc:title>
  <dc:creator>Liivi Fuchs</dc:creator>
  <cp:lastModifiedBy>Ingrid Koemets</cp:lastModifiedBy>
  <dcterms:created xsi:type="dcterms:W3CDTF">2024-05-30T11:29:53Z</dcterms:created>
  <dcterms:modified xsi:type="dcterms:W3CDTF">2024-07-11T13:02:21Z</dcterms:modified>
</cp:coreProperties>
</file>